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defaultThemeVersion="124226"/>
  <mc:AlternateContent xmlns:mc="http://schemas.openxmlformats.org/markup-compatibility/2006">
    <mc:Choice Requires="x15">
      <x15ac:absPath xmlns:x15ac="http://schemas.microsoft.com/office/spreadsheetml/2010/11/ac" url="C:\Users\Patrice PRO\kDrive\Pro\CLIENTS\ANAMAAF\Documents en ligne sur site\2026-05 Congés et SMIC\"/>
    </mc:Choice>
  </mc:AlternateContent>
  <xr:revisionPtr revIDLastSave="0" documentId="13_ncr:1_{D2DE36F9-8CF2-4C1C-B4CB-1E60CB38D793}" xr6:coauthVersionLast="47" xr6:coauthVersionMax="47" xr10:uidLastSave="{00000000-0000-0000-0000-000000000000}"/>
  <bookViews>
    <workbookView xWindow="-120" yWindow="-120" windowWidth="24240" windowHeight="13140" xr2:uid="{C22AE351-C5AF-4655-A90C-E70158D22B07}"/>
  </bookViews>
  <sheets>
    <sheet name="calcul_cp" sheetId="9" r:id="rId1"/>
    <sheet name="Poursuite cp sur + 3 année" sheetId="12" r:id="rId2"/>
    <sheet name="Explication déduction CP" sheetId="11" r:id="rId3"/>
    <sheet name="Feuil1" sheetId="4" state="hidden" r:id="rId4"/>
  </sheets>
  <definedNames>
    <definedName name="cp">Feuil1!$A$1:$A$3</definedName>
    <definedName name="jours_ouvrables">Feuil1!$AK$1:$AK$2</definedName>
    <definedName name="oui_non">Feuil1!$B$1:$B$2</definedName>
    <definedName name="reference">Feuil1!$I$1:$I$3</definedName>
    <definedName name="total_cp_10_cent" localSheetId="1">'Poursuite cp sur + 3 année'!$J$40</definedName>
    <definedName name="total_cp_10_cent">calcul_cp!$J$40</definedName>
    <definedName name="total_cp_10_centb" localSheetId="1">'Poursuite cp sur + 3 année'!$J$69</definedName>
    <definedName name="total_cp_10_centb">calcul_cp!$J$69</definedName>
    <definedName name="total_cp_10_centc" localSheetId="1">'Poursuite cp sur + 3 année'!$J$98</definedName>
    <definedName name="total_cp_10_centc">calcul_cp!$J$98</definedName>
    <definedName name="total_cp_acquis" localSheetId="1">'Poursuite cp sur + 3 année'!$O$28</definedName>
    <definedName name="total_cp_acquis">calcul_cp!$O$28</definedName>
    <definedName name="total_cp_acquisb" localSheetId="1">'Poursuite cp sur + 3 année'!$O$57</definedName>
    <definedName name="total_cp_acquisb">calcul_cp!$O$57</definedName>
    <definedName name="total_cp_acquisc" localSheetId="1">'Poursuite cp sur + 3 année'!$O$86</definedName>
    <definedName name="total_cp_acquisc">calcul_cp!$O$86</definedName>
    <definedName name="valeur_cp_non_pris" localSheetId="1">'Poursuite cp sur + 3 année'!$O$27</definedName>
    <definedName name="valeur_cp_non_pris">calcul_cp!$O$27</definedName>
    <definedName name="valeur_cp_non_prisb" localSheetId="1">'Poursuite cp sur + 3 année'!$O$56</definedName>
    <definedName name="valeur_cp_non_prisb">calcul_cp!$O$56</definedName>
    <definedName name="valeur_cp_non_prisc" localSheetId="1">'Poursuite cp sur + 3 année'!$O$85</definedName>
    <definedName name="valeur_cp_non_prisc">calcul_cp!$O$85</definedName>
    <definedName name="valeur_cp_pris" localSheetId="1">'Poursuite cp sur + 3 année'!$O$29</definedName>
    <definedName name="valeur_cp_pris">calcul_cp!$O$29</definedName>
    <definedName name="valeur_cp_prisb" localSheetId="1">'Poursuite cp sur + 3 année'!$O$58</definedName>
    <definedName name="valeur_cp_prisb">calcul_cp!$O$58</definedName>
    <definedName name="valeur_cp_prisc" localSheetId="1">'Poursuite cp sur + 3 année'!$O$87</definedName>
    <definedName name="valeur_cp_prisc">calcul_cp!$O$87</definedName>
    <definedName name="_xlnm.Print_Area" localSheetId="0">calcul_cp!$A$1:$P$104</definedName>
    <definedName name="_xlnm.Print_Area" localSheetId="1">'Poursuite cp sur + 3 année'!$A$1:$P$104</definedName>
  </definedNames>
  <calcPr calcId="181029"/>
</workbook>
</file>

<file path=xl/calcChain.xml><?xml version="1.0" encoding="utf-8"?>
<calcChain xmlns="http://schemas.openxmlformats.org/spreadsheetml/2006/main">
  <c r="I54" i="11" l="1"/>
  <c r="K54" i="11" s="1"/>
  <c r="E97" i="12" s="1"/>
  <c r="I52" i="11"/>
  <c r="K52" i="11" s="1"/>
  <c r="E68" i="12" s="1"/>
  <c r="I50" i="11"/>
  <c r="K50" i="11" s="1"/>
  <c r="E39" i="12" s="1"/>
  <c r="C54" i="11"/>
  <c r="E54" i="11" s="1"/>
  <c r="E97" i="9" s="1"/>
  <c r="C52" i="11"/>
  <c r="E52" i="11" s="1"/>
  <c r="E68" i="9" s="1"/>
  <c r="C50" i="11"/>
  <c r="E50" i="11" s="1"/>
  <c r="L32" i="12"/>
  <c r="L31" i="12"/>
  <c r="L32" i="9"/>
  <c r="L31" i="9"/>
  <c r="C41" i="12"/>
  <c r="D41" i="12" s="1"/>
  <c r="C40" i="9"/>
  <c r="D40" i="9" s="1"/>
  <c r="O26" i="9"/>
  <c r="J95" i="12"/>
  <c r="J94" i="12"/>
  <c r="J93" i="12"/>
  <c r="J92" i="12"/>
  <c r="J91" i="12"/>
  <c r="J90" i="12"/>
  <c r="J89" i="12"/>
  <c r="J88" i="12"/>
  <c r="J87" i="12"/>
  <c r="J86" i="12"/>
  <c r="J85" i="12"/>
  <c r="J84" i="12"/>
  <c r="J66" i="12"/>
  <c r="J65" i="12"/>
  <c r="J64" i="12"/>
  <c r="J63" i="12"/>
  <c r="J62" i="12"/>
  <c r="J61" i="12"/>
  <c r="J60" i="12"/>
  <c r="J59" i="12"/>
  <c r="J58" i="12"/>
  <c r="J57" i="12"/>
  <c r="J56" i="12"/>
  <c r="J55" i="12"/>
  <c r="J37" i="12"/>
  <c r="J36" i="12"/>
  <c r="J35" i="12"/>
  <c r="J34" i="12"/>
  <c r="J33" i="12"/>
  <c r="J32" i="12"/>
  <c r="J31" i="12"/>
  <c r="J30" i="12"/>
  <c r="J29" i="12"/>
  <c r="J28" i="12"/>
  <c r="J27" i="12"/>
  <c r="H41" i="12"/>
  <c r="J26" i="12"/>
  <c r="L26" i="12"/>
  <c r="M26" i="12"/>
  <c r="O26" i="12"/>
  <c r="L27" i="12"/>
  <c r="M27" i="12"/>
  <c r="L28" i="12"/>
  <c r="M28" i="12"/>
  <c r="L29" i="12"/>
  <c r="M29" i="12"/>
  <c r="L30" i="12"/>
  <c r="M30" i="12"/>
  <c r="M31" i="12"/>
  <c r="M32" i="12"/>
  <c r="L33" i="12"/>
  <c r="M33" i="12"/>
  <c r="L34" i="12"/>
  <c r="M34" i="12"/>
  <c r="L35" i="12"/>
  <c r="M35" i="12"/>
  <c r="L36" i="12"/>
  <c r="M36" i="12"/>
  <c r="L37" i="12"/>
  <c r="M37" i="12"/>
  <c r="I81" i="12"/>
  <c r="J81" i="12"/>
  <c r="K81" i="12"/>
  <c r="L81" i="12"/>
  <c r="M81" i="12"/>
  <c r="M52" i="12"/>
  <c r="L52" i="12"/>
  <c r="K52" i="12"/>
  <c r="J52" i="12"/>
  <c r="I52" i="12"/>
  <c r="M23" i="12"/>
  <c r="L23" i="12"/>
  <c r="K23" i="12"/>
  <c r="J23" i="12"/>
  <c r="I23" i="12"/>
  <c r="M52" i="9"/>
  <c r="M81" i="9"/>
  <c r="L52" i="9"/>
  <c r="L81" i="9"/>
  <c r="K52" i="9"/>
  <c r="K81" i="9"/>
  <c r="J81" i="9"/>
  <c r="J52" i="9"/>
  <c r="I81" i="9"/>
  <c r="I52" i="9"/>
  <c r="J84" i="9"/>
  <c r="J96" i="9"/>
  <c r="J98" i="9"/>
  <c r="O90" i="9"/>
  <c r="J85" i="9"/>
  <c r="J86" i="9"/>
  <c r="J87" i="9"/>
  <c r="J88" i="9"/>
  <c r="J89" i="9"/>
  <c r="J90" i="9"/>
  <c r="J91" i="9"/>
  <c r="J92" i="9"/>
  <c r="J93" i="9"/>
  <c r="J94" i="9"/>
  <c r="J95" i="9"/>
  <c r="J55" i="9"/>
  <c r="J56" i="9"/>
  <c r="J57" i="9"/>
  <c r="J58" i="9"/>
  <c r="J59" i="9"/>
  <c r="J60" i="9"/>
  <c r="J61" i="9"/>
  <c r="J62" i="9"/>
  <c r="J63" i="9"/>
  <c r="J64" i="9"/>
  <c r="J65" i="9"/>
  <c r="J66" i="9"/>
  <c r="J26" i="9"/>
  <c r="J37" i="9"/>
  <c r="J36" i="9"/>
  <c r="J35" i="9"/>
  <c r="J34" i="9"/>
  <c r="J33" i="9"/>
  <c r="J32" i="9"/>
  <c r="J31" i="9"/>
  <c r="J30" i="9"/>
  <c r="J29" i="9"/>
  <c r="J28" i="9"/>
  <c r="J27" i="9"/>
  <c r="J38" i="9"/>
  <c r="K23" i="9"/>
  <c r="M26" i="9"/>
  <c r="M38" i="9"/>
  <c r="G13" i="12"/>
  <c r="H98" i="12"/>
  <c r="F98" i="12"/>
  <c r="C98" i="12"/>
  <c r="D98" i="12" s="1"/>
  <c r="K96" i="12"/>
  <c r="A96" i="12"/>
  <c r="M95" i="12"/>
  <c r="L95" i="12"/>
  <c r="M94" i="12"/>
  <c r="L94" i="12"/>
  <c r="M93" i="12"/>
  <c r="L93" i="12"/>
  <c r="M92" i="12"/>
  <c r="L92" i="12"/>
  <c r="M91" i="12"/>
  <c r="L91" i="12"/>
  <c r="M90" i="12"/>
  <c r="L90" i="12"/>
  <c r="M89" i="12"/>
  <c r="L89" i="12"/>
  <c r="M88" i="12"/>
  <c r="L88" i="12"/>
  <c r="M87" i="12"/>
  <c r="L87" i="12"/>
  <c r="M86" i="12"/>
  <c r="L86" i="12"/>
  <c r="M85" i="12"/>
  <c r="L85" i="12"/>
  <c r="O84" i="12"/>
  <c r="O87" i="12"/>
  <c r="M84" i="12"/>
  <c r="L84" i="12"/>
  <c r="C84" i="12"/>
  <c r="C85" i="12"/>
  <c r="C86" i="12"/>
  <c r="C87" i="12"/>
  <c r="C88" i="12"/>
  <c r="C89" i="12"/>
  <c r="C90" i="12"/>
  <c r="C91" i="12"/>
  <c r="C92" i="12"/>
  <c r="C93" i="12"/>
  <c r="C94" i="12"/>
  <c r="C95" i="12"/>
  <c r="A83" i="12"/>
  <c r="F69" i="12"/>
  <c r="H69" i="12"/>
  <c r="C69" i="12"/>
  <c r="D69" i="12" s="1"/>
  <c r="K67" i="12"/>
  <c r="A67" i="12"/>
  <c r="M66" i="12"/>
  <c r="L66" i="12"/>
  <c r="M65" i="12"/>
  <c r="L65" i="12"/>
  <c r="M64" i="12"/>
  <c r="L64" i="12"/>
  <c r="M63" i="12"/>
  <c r="L63" i="12"/>
  <c r="M62" i="12"/>
  <c r="L62" i="12"/>
  <c r="M61" i="12"/>
  <c r="L61" i="12"/>
  <c r="M60" i="12"/>
  <c r="L60" i="12"/>
  <c r="M59" i="12"/>
  <c r="L59" i="12"/>
  <c r="M58" i="12"/>
  <c r="L58" i="12"/>
  <c r="M57" i="12"/>
  <c r="L57" i="12"/>
  <c r="M56" i="12"/>
  <c r="L56" i="12"/>
  <c r="O55" i="12"/>
  <c r="M55" i="12"/>
  <c r="L55" i="12"/>
  <c r="C55" i="12"/>
  <c r="C56" i="12"/>
  <c r="C57" i="12"/>
  <c r="C58" i="12"/>
  <c r="C59" i="12"/>
  <c r="C60" i="12"/>
  <c r="C61" i="12"/>
  <c r="C62" i="12"/>
  <c r="C63" i="12"/>
  <c r="C64" i="12"/>
  <c r="C65" i="12"/>
  <c r="C66" i="12"/>
  <c r="A54" i="12"/>
  <c r="H40" i="12"/>
  <c r="F40" i="12"/>
  <c r="O29" i="12"/>
  <c r="K38" i="12"/>
  <c r="A38" i="12"/>
  <c r="C26" i="12"/>
  <c r="C27" i="12"/>
  <c r="C28" i="12"/>
  <c r="C29" i="12"/>
  <c r="C30" i="12"/>
  <c r="C31" i="12"/>
  <c r="C32" i="12"/>
  <c r="C33" i="12"/>
  <c r="C34" i="12"/>
  <c r="C35" i="12"/>
  <c r="C36" i="12"/>
  <c r="C37" i="12"/>
  <c r="F25" i="12"/>
  <c r="A25" i="12"/>
  <c r="O18" i="12"/>
  <c r="A1" i="12"/>
  <c r="K31" i="11"/>
  <c r="K29" i="11"/>
  <c r="K27" i="11"/>
  <c r="M95" i="9"/>
  <c r="M94" i="9"/>
  <c r="M93" i="9"/>
  <c r="M92" i="9"/>
  <c r="M91" i="9"/>
  <c r="M90" i="9"/>
  <c r="M89" i="9"/>
  <c r="M88" i="9"/>
  <c r="M87" i="9"/>
  <c r="M96" i="9"/>
  <c r="M86" i="9"/>
  <c r="M85" i="9"/>
  <c r="M84" i="9"/>
  <c r="M66" i="9"/>
  <c r="M65" i="9"/>
  <c r="M64" i="9"/>
  <c r="M63" i="9"/>
  <c r="M62" i="9"/>
  <c r="M61" i="9"/>
  <c r="M60" i="9"/>
  <c r="M59" i="9"/>
  <c r="M58" i="9"/>
  <c r="M57" i="9"/>
  <c r="M56" i="9"/>
  <c r="M55" i="9"/>
  <c r="M27" i="9"/>
  <c r="L95" i="9"/>
  <c r="L94" i="9"/>
  <c r="L93" i="9"/>
  <c r="L92" i="9"/>
  <c r="L91" i="9"/>
  <c r="L90" i="9"/>
  <c r="L89" i="9"/>
  <c r="L88" i="9"/>
  <c r="L87" i="9"/>
  <c r="L86" i="9"/>
  <c r="L85" i="9"/>
  <c r="L84" i="9"/>
  <c r="L78" i="9"/>
  <c r="L63" i="9"/>
  <c r="L66" i="9"/>
  <c r="L65" i="9"/>
  <c r="L64" i="9"/>
  <c r="L62" i="9"/>
  <c r="L61" i="9"/>
  <c r="L60" i="9"/>
  <c r="L59" i="9"/>
  <c r="L58" i="9"/>
  <c r="L57" i="9"/>
  <c r="L56" i="9"/>
  <c r="L55" i="9"/>
  <c r="L49" i="9"/>
  <c r="L26" i="9"/>
  <c r="M23" i="9"/>
  <c r="L23" i="9"/>
  <c r="I23" i="9"/>
  <c r="J23" i="9"/>
  <c r="M37" i="9"/>
  <c r="M36" i="9"/>
  <c r="M35" i="9"/>
  <c r="M34" i="9"/>
  <c r="M33" i="9"/>
  <c r="M32" i="9"/>
  <c r="M31" i="9"/>
  <c r="M30" i="9"/>
  <c r="M29" i="9"/>
  <c r="M28" i="9"/>
  <c r="L37" i="9"/>
  <c r="L36" i="9"/>
  <c r="L35" i="9"/>
  <c r="L34" i="9"/>
  <c r="L33" i="9"/>
  <c r="L30" i="9"/>
  <c r="L29" i="9"/>
  <c r="L28" i="9"/>
  <c r="L27" i="9"/>
  <c r="C84" i="9"/>
  <c r="C85" i="9"/>
  <c r="C86" i="9"/>
  <c r="C87" i="9"/>
  <c r="C88" i="9"/>
  <c r="C89" i="9"/>
  <c r="C90" i="9"/>
  <c r="C91" i="9"/>
  <c r="C92" i="9"/>
  <c r="C93" i="9"/>
  <c r="C94" i="9"/>
  <c r="C95" i="9"/>
  <c r="C55" i="9"/>
  <c r="C56" i="9"/>
  <c r="C57" i="9"/>
  <c r="C58" i="9"/>
  <c r="C59" i="9"/>
  <c r="C60" i="9"/>
  <c r="C61" i="9"/>
  <c r="C62" i="9"/>
  <c r="C63" i="9"/>
  <c r="C64" i="9"/>
  <c r="C65" i="9"/>
  <c r="C66" i="9"/>
  <c r="C26" i="9"/>
  <c r="C27" i="9"/>
  <c r="C28" i="9"/>
  <c r="C29" i="9"/>
  <c r="C30" i="9"/>
  <c r="C31" i="9"/>
  <c r="C32" i="9"/>
  <c r="C33" i="9"/>
  <c r="C34" i="9"/>
  <c r="C35" i="9"/>
  <c r="C36" i="9"/>
  <c r="C37" i="9"/>
  <c r="A43" i="9"/>
  <c r="F25" i="9"/>
  <c r="C98" i="9"/>
  <c r="D98" i="9" s="1"/>
  <c r="C69" i="9"/>
  <c r="D69" i="9" s="1"/>
  <c r="F40" i="9"/>
  <c r="F69" i="9"/>
  <c r="H69" i="9"/>
  <c r="F98" i="9"/>
  <c r="O87" i="9"/>
  <c r="G13" i="9"/>
  <c r="A83" i="9"/>
  <c r="O84" i="9"/>
  <c r="A38" i="9"/>
  <c r="O55" i="9"/>
  <c r="H40" i="9"/>
  <c r="E31" i="11"/>
  <c r="E29" i="11"/>
  <c r="E27" i="11"/>
  <c r="A96" i="9"/>
  <c r="A67" i="9"/>
  <c r="K96" i="9"/>
  <c r="K67" i="9"/>
  <c r="K38" i="9"/>
  <c r="A54" i="9"/>
  <c r="A1" i="9"/>
  <c r="O18" i="9"/>
  <c r="H98" i="9"/>
  <c r="M67" i="9"/>
  <c r="M69" i="9"/>
  <c r="J49" i="9"/>
  <c r="M40" i="9"/>
  <c r="M98" i="9"/>
  <c r="J67" i="9"/>
  <c r="J69" i="9"/>
  <c r="O61" i="9"/>
  <c r="O29" i="9"/>
  <c r="J96" i="12"/>
  <c r="J78" i="12"/>
  <c r="J67" i="12"/>
  <c r="J69" i="12"/>
  <c r="O61" i="12"/>
  <c r="L49" i="12"/>
  <c r="L78" i="12"/>
  <c r="M38" i="12"/>
  <c r="J38" i="12"/>
  <c r="J40" i="12"/>
  <c r="M67" i="12"/>
  <c r="M96" i="12"/>
  <c r="J98" i="12"/>
  <c r="O90" i="12"/>
  <c r="J49" i="12"/>
  <c r="K69" i="9"/>
  <c r="J40" i="9"/>
  <c r="O32" i="9"/>
  <c r="K98" i="9"/>
  <c r="J78" i="9"/>
  <c r="M69" i="12"/>
  <c r="O58" i="9"/>
  <c r="O58" i="12"/>
  <c r="H41" i="9"/>
  <c r="M40" i="12"/>
  <c r="K40" i="12"/>
  <c r="O32" i="12"/>
  <c r="K69" i="12"/>
  <c r="K98" i="12"/>
  <c r="M98" i="12"/>
  <c r="E98" i="12" l="1"/>
  <c r="E69" i="12"/>
  <c r="E39" i="9"/>
  <c r="E40" i="9" s="1"/>
  <c r="E41" i="9" s="1"/>
  <c r="E43" i="9" s="1"/>
  <c r="E41" i="12"/>
  <c r="E98" i="9"/>
  <c r="E69" i="9"/>
  <c r="O28" i="9" l="1"/>
  <c r="P32" i="9" s="1"/>
  <c r="O31" i="9" s="1"/>
  <c r="F41" i="9"/>
  <c r="G41" i="9" l="1"/>
  <c r="O27" i="9"/>
  <c r="O40" i="9"/>
  <c r="E54" i="9"/>
  <c r="E72" i="9" s="1"/>
  <c r="F70" i="9" l="1"/>
  <c r="O57" i="9"/>
  <c r="P60" i="9" s="1"/>
  <c r="O60" i="9" s="1"/>
  <c r="H70" i="9"/>
  <c r="O38" i="9"/>
  <c r="P28" i="9"/>
  <c r="N41" i="9"/>
  <c r="O68" i="9" l="1"/>
  <c r="O56" i="9"/>
  <c r="E83" i="9"/>
  <c r="E101" i="9" s="1"/>
  <c r="G70" i="9"/>
  <c r="P56" i="9" l="1"/>
  <c r="O66" i="9"/>
  <c r="O86" i="9"/>
  <c r="P89" i="9" s="1"/>
  <c r="O89" i="9" s="1"/>
  <c r="F99" i="9"/>
  <c r="N69" i="9"/>
  <c r="O85" i="9" l="1"/>
  <c r="N98" i="9" s="1"/>
  <c r="E40" i="12"/>
  <c r="E43" i="12" s="1"/>
  <c r="G99" i="9"/>
  <c r="O97" i="9"/>
  <c r="O28" i="12" l="1"/>
  <c r="P32" i="12" s="1"/>
  <c r="O31" i="12" s="1"/>
  <c r="F41" i="12"/>
  <c r="O95" i="9"/>
  <c r="P85" i="9"/>
  <c r="O40" i="12" l="1"/>
  <c r="E54" i="12"/>
  <c r="E72" i="12" s="1"/>
  <c r="G41" i="12"/>
  <c r="O27" i="12"/>
  <c r="O57" i="12" l="1"/>
  <c r="P60" i="12" s="1"/>
  <c r="O60" i="12" s="1"/>
  <c r="F70" i="12"/>
  <c r="H70" i="12"/>
  <c r="P28" i="12"/>
  <c r="O38" i="12"/>
  <c r="N41" i="12"/>
  <c r="G70" i="12" l="1"/>
  <c r="O56" i="12"/>
  <c r="N69" i="12" s="1"/>
  <c r="O68" i="12"/>
  <c r="E83" i="12"/>
  <c r="E101" i="12" s="1"/>
  <c r="P56" i="12" l="1"/>
  <c r="O66" i="12"/>
  <c r="O86" i="12"/>
  <c r="P89" i="12" s="1"/>
  <c r="O89" i="12" s="1"/>
  <c r="F99" i="12"/>
  <c r="O97" i="12" l="1"/>
  <c r="O85" i="12"/>
  <c r="N98" i="12" s="1"/>
  <c r="G99" i="12"/>
  <c r="P85" i="12" l="1"/>
  <c r="O95"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Unsa</author>
    <author>utilisateur</author>
    <author>Marie Noêlle PETITGAS</author>
    <author>Utilisateur</author>
    <author>moii</author>
  </authors>
  <commentList>
    <comment ref="A12" authorId="0" shapeId="0" xr:uid="{1B492E7F-8CC1-4D99-98E5-FB8DB368EC1E}">
      <text>
        <r>
          <rPr>
            <sz val="9"/>
            <color indexed="81"/>
            <rFont val="Tahoma"/>
            <family val="2"/>
          </rPr>
          <t xml:space="preserve">Aide ,la touche x du clavier est celle utilisée
(ordre w </t>
        </r>
        <r>
          <rPr>
            <sz val="9"/>
            <color indexed="10"/>
            <rFont val="Tahoma"/>
            <family val="2"/>
          </rPr>
          <t>x</t>
        </r>
        <r>
          <rPr>
            <sz val="9"/>
            <color indexed="81"/>
            <rFont val="Tahoma"/>
            <family val="2"/>
          </rPr>
          <t xml:space="preserve"> c v b n... )</t>
        </r>
      </text>
    </comment>
    <comment ref="A13" authorId="0" shapeId="0" xr:uid="{2BB3D883-8B2A-4418-BACA-B25C3D7B190D}">
      <text>
        <r>
          <rPr>
            <b/>
            <sz val="11"/>
            <color indexed="81"/>
            <rFont val="Tahoma"/>
            <family val="2"/>
          </rPr>
          <t xml:space="preserve">Vos congés payés </t>
        </r>
        <r>
          <rPr>
            <b/>
            <sz val="11"/>
            <color indexed="10"/>
            <rFont val="Tahoma"/>
            <family val="2"/>
          </rPr>
          <t>ne sont pas inclus</t>
        </r>
        <r>
          <rPr>
            <b/>
            <sz val="11"/>
            <color indexed="81"/>
            <rFont val="Tahoma"/>
            <family val="2"/>
          </rPr>
          <t xml:space="preserve"> dans le calcul de la mensualisation mettre une croix (x)
Il ne peut être saisi 2 (x) croix </t>
        </r>
      </text>
    </comment>
    <comment ref="A14" authorId="0" shapeId="0" xr:uid="{170C254D-2CF2-4D51-B258-3088432C0903}">
      <text>
        <r>
          <rPr>
            <b/>
            <sz val="9"/>
            <color indexed="81"/>
            <rFont val="Tahoma"/>
            <family val="2"/>
          </rPr>
          <t xml:space="preserve">Vos congés </t>
        </r>
        <r>
          <rPr>
            <b/>
            <sz val="9"/>
            <color indexed="10"/>
            <rFont val="Tahoma"/>
            <family val="2"/>
          </rPr>
          <t xml:space="preserve"> payés sont  inclus </t>
        </r>
        <r>
          <rPr>
            <b/>
            <sz val="9"/>
            <color indexed="81"/>
            <rFont val="Tahoma"/>
            <family val="2"/>
          </rPr>
          <t>dans le calcul de la mensualisation mettre une croix (x)</t>
        </r>
      </text>
    </comment>
    <comment ref="I17" authorId="1" shapeId="0" xr:uid="{41CEB88E-A578-49FD-A05E-80F4979F17B1}">
      <text>
        <r>
          <rPr>
            <sz val="9"/>
            <color indexed="81"/>
            <rFont val="Tahoma"/>
            <family val="2"/>
          </rPr>
          <t xml:space="preserve">Format 00/00/0000
</t>
        </r>
      </text>
    </comment>
    <comment ref="J19" authorId="2" shapeId="0" xr:uid="{30ADD988-7A8F-4490-A6C3-F6340D7355FE}">
      <text>
        <r>
          <rPr>
            <sz val="9"/>
            <color indexed="81"/>
            <rFont val="Tahoma"/>
            <family val="2"/>
          </rPr>
          <t xml:space="preserve">Date de </t>
        </r>
        <r>
          <rPr>
            <b/>
            <sz val="9"/>
            <color indexed="81"/>
            <rFont val="Tahoma"/>
            <family val="2"/>
          </rPr>
          <t>début du contrat</t>
        </r>
        <r>
          <rPr>
            <sz val="9"/>
            <color indexed="81"/>
            <rFont val="Tahoma"/>
            <family val="2"/>
          </rPr>
          <t xml:space="preserve"> </t>
        </r>
        <r>
          <rPr>
            <b/>
            <sz val="9"/>
            <color indexed="10"/>
            <rFont val="Tahoma"/>
            <family val="2"/>
          </rPr>
          <t>ou</t>
        </r>
        <r>
          <rPr>
            <sz val="9"/>
            <color indexed="81"/>
            <rFont val="Tahoma"/>
            <family val="2"/>
          </rPr>
          <t xml:space="preserve"> de </t>
        </r>
        <r>
          <rPr>
            <b/>
            <sz val="9"/>
            <color indexed="81"/>
            <rFont val="Tahoma"/>
            <family val="2"/>
          </rPr>
          <t>début d'année de référence</t>
        </r>
        <r>
          <rPr>
            <sz val="9"/>
            <color indexed="81"/>
            <rFont val="Tahoma"/>
            <family val="2"/>
          </rPr>
          <t xml:space="preserve"> des congés payés fixée au contrat de travail - Format 00/00/0000</t>
        </r>
      </text>
    </comment>
    <comment ref="L19" authorId="2" shapeId="0" xr:uid="{DD7F94EB-5103-4049-A6EA-DFE004112AC5}">
      <text>
        <r>
          <rPr>
            <sz val="9"/>
            <color indexed="81"/>
            <rFont val="Tahoma"/>
            <family val="2"/>
          </rPr>
          <t xml:space="preserve">Date de </t>
        </r>
        <r>
          <rPr>
            <b/>
            <sz val="9"/>
            <color indexed="81"/>
            <rFont val="Tahoma"/>
            <family val="2"/>
          </rPr>
          <t>fin d'année de référence</t>
        </r>
        <r>
          <rPr>
            <sz val="9"/>
            <color indexed="81"/>
            <rFont val="Tahoma"/>
            <family val="2"/>
          </rPr>
          <t xml:space="preserve"> des congés payés fixée au contrat de travail
</t>
        </r>
        <r>
          <rPr>
            <b/>
            <sz val="9"/>
            <color indexed="81"/>
            <rFont val="Tahoma"/>
            <family val="2"/>
          </rPr>
          <t>ou</t>
        </r>
        <r>
          <rPr>
            <sz val="9"/>
            <color indexed="81"/>
            <rFont val="Tahoma"/>
            <family val="2"/>
          </rPr>
          <t xml:space="preserve"> le cas échéant de rupture du contrat. Format 00/00/0000</t>
        </r>
      </text>
    </comment>
    <comment ref="A23" authorId="1" shapeId="0" xr:uid="{781EF3D9-8890-446C-A472-671D6F95CA2B}">
      <text>
        <r>
          <rPr>
            <b/>
            <sz val="9"/>
            <color indexed="81"/>
            <rFont val="Tahoma"/>
            <family val="2"/>
          </rPr>
          <t>Soit 2,5 jours ouvrables*/mois</t>
        </r>
        <r>
          <rPr>
            <sz val="9"/>
            <color indexed="81"/>
            <rFont val="Tahoma"/>
            <family val="2"/>
          </rPr>
          <t xml:space="preserve"> </t>
        </r>
        <r>
          <rPr>
            <b/>
            <u/>
            <sz val="9"/>
            <color indexed="10"/>
            <rFont val="Tahoma"/>
            <family val="2"/>
          </rPr>
          <t>quelque soit la durée effective de travail au cours du mois</t>
        </r>
        <r>
          <rPr>
            <b/>
            <sz val="9"/>
            <color indexed="10"/>
            <rFont val="Tahoma"/>
            <family val="2"/>
          </rPr>
          <t>.</t>
        </r>
        <r>
          <rPr>
            <sz val="9"/>
            <color indexed="81"/>
            <rFont val="Tahoma"/>
            <family val="2"/>
          </rPr>
          <t xml:space="preserve">
En cas de début ou de fin de contrat au cours  du mois, il convient de vérifier le nombre de périodes de 4 semaines entre le début et la fin de l'année de référence : 2,5 jours ouvrables/période de  4 semaines.
</t>
        </r>
        <r>
          <rPr>
            <b/>
            <sz val="9"/>
            <color indexed="81"/>
            <rFont val="Tahoma"/>
            <family val="2"/>
          </rPr>
          <t>12 mois ou 12 périodes de 4 semaines = 30 jours ouvrables de congés payés acquis auxquels se rajoutent le  cas échéant les jours de fractionnement.</t>
        </r>
        <r>
          <rPr>
            <sz val="9"/>
            <color indexed="81"/>
            <rFont val="Tahoma"/>
            <family val="2"/>
          </rPr>
          <t xml:space="preserve">
Le contrat de travail ANAMAAF prévoit - selon la directive européenne - l'acquisition des congés payés en arrêt maladie non professionnelle. 
Les congés payés (2,5 jours ouvrables/mois) restent acquis durant le congé maternité - l'arrêt pour accident du travail et maladie professionnelle ainsi que durant la période de prise des congés payés.
Les semaines d'absence - non travaillées - de congés sans solde prises en compte dans le calcul de la mensualistion pour une modulation annuelle du salaire (temps partiel) , n' interfèrent nullement dans l'acquisition des droits au Congé payé acquis: un salarié à temps partiel - quelque soit la durée effective - acquiert autant de jours de congés payés </t>
        </r>
        <r>
          <rPr>
            <b/>
            <u/>
            <sz val="9"/>
            <color indexed="81"/>
            <rFont val="Tahoma"/>
            <family val="2"/>
          </rPr>
          <t>en durée</t>
        </r>
        <r>
          <rPr>
            <sz val="9"/>
            <color indexed="81"/>
            <rFont val="Tahoma"/>
            <family val="2"/>
          </rPr>
          <t xml:space="preserve"> qu'un salarié à temps plein. Seul le montant de la rémunération  de ces congés payés  est proportionnel au salaire versé pour le temps de travail prévu par le contrat.
</t>
        </r>
        <r>
          <rPr>
            <b/>
            <sz val="9"/>
            <color indexed="81"/>
            <rFont val="Tahoma"/>
            <family val="2"/>
          </rPr>
          <t>* Jours ouvrables = tous les jours de la semaine à l'exception du Dimanche et des jours fériés</t>
        </r>
      </text>
    </comment>
    <comment ref="I23" authorId="0" shapeId="0" xr:uid="{B30AC0F9-E8F4-4876-B350-E31638D5343C}">
      <text>
        <r>
          <rPr>
            <b/>
            <sz val="9"/>
            <color indexed="57"/>
            <rFont val="Tahoma"/>
            <family val="2"/>
          </rPr>
          <t xml:space="preserve">Mensualisation </t>
        </r>
        <r>
          <rPr>
            <b/>
            <u/>
            <sz val="9"/>
            <color indexed="57"/>
            <rFont val="Tahoma"/>
            <family val="2"/>
          </rPr>
          <t>Congés payés Non Inclus</t>
        </r>
        <r>
          <rPr>
            <b/>
            <sz val="9"/>
            <color indexed="57"/>
            <rFont val="Tahoma"/>
            <family val="2"/>
          </rPr>
          <t>:</t>
        </r>
        <r>
          <rPr>
            <b/>
            <sz val="9"/>
            <color indexed="81"/>
            <rFont val="Tahoma"/>
            <family val="2"/>
          </rPr>
          <t xml:space="preserve">
</t>
        </r>
        <r>
          <rPr>
            <sz val="9"/>
            <color indexed="8"/>
            <rFont val="Tahoma"/>
            <family val="2"/>
          </rPr>
          <t>Indiquer le salaire mensualisé -</t>
        </r>
        <r>
          <rPr>
            <b/>
            <sz val="9"/>
            <color indexed="10"/>
            <rFont val="Tahoma"/>
            <family val="2"/>
          </rPr>
          <t xml:space="preserve"> Sans les heures compl ou suppl </t>
        </r>
        <r>
          <rPr>
            <sz val="9"/>
            <color indexed="8"/>
            <rFont val="Tahoma"/>
            <family val="2"/>
          </rPr>
          <t xml:space="preserve">- minoré le cas échéant en cas d'absence 
</t>
        </r>
        <r>
          <rPr>
            <b/>
            <sz val="9"/>
            <color indexed="8"/>
            <rFont val="Tahoma"/>
            <family val="2"/>
          </rPr>
          <t xml:space="preserve">
</t>
        </r>
        <r>
          <rPr>
            <b/>
            <sz val="9"/>
            <color indexed="52"/>
            <rFont val="Tahoma"/>
            <family val="2"/>
          </rPr>
          <t xml:space="preserve">Mensualisation </t>
        </r>
        <r>
          <rPr>
            <b/>
            <u/>
            <sz val="9"/>
            <color indexed="52"/>
            <rFont val="Tahoma"/>
            <family val="2"/>
          </rPr>
          <t xml:space="preserve">Congés Payés Inclus </t>
        </r>
        <r>
          <rPr>
            <b/>
            <sz val="9"/>
            <color indexed="52"/>
            <rFont val="Tahoma"/>
            <family val="2"/>
          </rPr>
          <t>:</t>
        </r>
        <r>
          <rPr>
            <b/>
            <sz val="9"/>
            <color indexed="8"/>
            <rFont val="Tahoma"/>
            <family val="2"/>
          </rPr>
          <t xml:space="preserve">
</t>
        </r>
        <r>
          <rPr>
            <sz val="9"/>
            <color indexed="8"/>
            <rFont val="Tahoma"/>
            <family val="2"/>
          </rPr>
          <t>Indiquer le salaire mensualisé -</t>
        </r>
        <r>
          <rPr>
            <b/>
            <sz val="9"/>
            <color indexed="10"/>
            <rFont val="Tahoma"/>
            <family val="2"/>
          </rPr>
          <t xml:space="preserve"> Sans les heures compl ou supp</t>
        </r>
        <r>
          <rPr>
            <sz val="9"/>
            <color indexed="8"/>
            <rFont val="Tahoma"/>
            <family val="2"/>
          </rPr>
          <t xml:space="preserve"> - lminoré le cas échéant en cas d'absence</t>
        </r>
      </text>
    </comment>
    <comment ref="J23" authorId="1" shapeId="0" xr:uid="{3F7628F4-1244-4E9C-9B8D-677EB54B2229}">
      <text>
        <r>
          <rPr>
            <b/>
            <sz val="9"/>
            <color indexed="52"/>
            <rFont val="Tahoma"/>
            <family val="2"/>
          </rPr>
          <t xml:space="preserve">Mensualisation </t>
        </r>
        <r>
          <rPr>
            <b/>
            <u/>
            <sz val="9"/>
            <color indexed="52"/>
            <rFont val="Tahoma"/>
            <family val="2"/>
          </rPr>
          <t>Congés Payés Inclus</t>
        </r>
        <r>
          <rPr>
            <sz val="9"/>
            <color indexed="81"/>
            <rFont val="Tahoma"/>
            <family val="2"/>
          </rPr>
          <t xml:space="preserve"> : Montant mensuel correspondant aux  CP </t>
        </r>
        <r>
          <rPr>
            <b/>
            <u/>
            <sz val="9"/>
            <color indexed="81"/>
            <rFont val="Tahoma"/>
            <family val="2"/>
          </rPr>
          <t>inclus dans le salaire</t>
        </r>
        <r>
          <rPr>
            <sz val="9"/>
            <color indexed="81"/>
            <rFont val="Tahoma"/>
            <family val="2"/>
          </rPr>
          <t xml:space="preserve">  </t>
        </r>
        <r>
          <rPr>
            <b/>
            <u/>
            <sz val="9"/>
            <color indexed="10"/>
            <rFont val="Tahoma"/>
            <family val="2"/>
          </rPr>
          <t>HORMIS CP</t>
        </r>
        <r>
          <rPr>
            <sz val="9"/>
            <color indexed="10"/>
            <rFont val="Tahoma"/>
            <family val="2"/>
          </rPr>
          <t xml:space="preserve"> Heures complémentaires et supplémentaires</t>
        </r>
        <r>
          <rPr>
            <sz val="9"/>
            <color indexed="81"/>
            <rFont val="Tahoma"/>
            <family val="2"/>
          </rPr>
          <t xml:space="preserve">
</t>
        </r>
        <r>
          <rPr>
            <b/>
            <sz val="9"/>
            <color indexed="57"/>
            <rFont val="Tahoma"/>
            <family val="2"/>
          </rPr>
          <t xml:space="preserve">Mensualisation </t>
        </r>
        <r>
          <rPr>
            <b/>
            <u/>
            <sz val="9"/>
            <color indexed="57"/>
            <rFont val="Tahoma"/>
            <family val="2"/>
          </rPr>
          <t>Congés payés Non Inclus</t>
        </r>
        <r>
          <rPr>
            <sz val="9"/>
            <color indexed="81"/>
            <rFont val="Tahoma"/>
            <family val="2"/>
          </rPr>
          <t>:
Montant mensuel à</t>
        </r>
        <r>
          <rPr>
            <b/>
            <u/>
            <sz val="9"/>
            <color indexed="81"/>
            <rFont val="Tahoma"/>
            <family val="2"/>
          </rPr>
          <t xml:space="preserve"> verser en plus du salaire</t>
        </r>
        <r>
          <rPr>
            <sz val="9"/>
            <color indexed="81"/>
            <rFont val="Tahoma"/>
            <family val="2"/>
          </rPr>
          <t xml:space="preserve"> correspondant aux </t>
        </r>
        <r>
          <rPr>
            <b/>
            <sz val="9"/>
            <color indexed="81"/>
            <rFont val="Tahoma"/>
            <family val="2"/>
          </rPr>
          <t>11%</t>
        </r>
        <r>
          <rPr>
            <sz val="9"/>
            <color indexed="81"/>
            <rFont val="Tahoma"/>
            <family val="2"/>
          </rPr>
          <t xml:space="preserve"> de CP </t>
        </r>
        <r>
          <rPr>
            <b/>
            <u/>
            <sz val="9"/>
            <color indexed="81"/>
            <rFont val="Tahoma"/>
            <family val="2"/>
          </rPr>
          <t xml:space="preserve">sur le salaire mensuel de base càd   </t>
        </r>
        <r>
          <rPr>
            <b/>
            <u/>
            <sz val="9"/>
            <color indexed="10"/>
            <rFont val="Tahoma"/>
            <family val="2"/>
          </rPr>
          <t>HORMIS CP</t>
        </r>
        <r>
          <rPr>
            <b/>
            <u/>
            <sz val="9"/>
            <color indexed="81"/>
            <rFont val="Tahoma"/>
            <family val="2"/>
          </rPr>
          <t xml:space="preserve"> Heures complémentaires et supplémentaires</t>
        </r>
      </text>
    </comment>
    <comment ref="K23" authorId="3" shapeId="0" xr:uid="{B9C49E5E-C760-4C1A-9318-1023380F266C}">
      <text>
        <r>
          <rPr>
            <b/>
            <sz val="9"/>
            <color indexed="53"/>
            <rFont val="Tahoma"/>
            <family val="2"/>
          </rPr>
          <t xml:space="preserve">Mensualisation </t>
        </r>
        <r>
          <rPr>
            <b/>
            <u/>
            <sz val="9"/>
            <color indexed="53"/>
            <rFont val="Tahoma"/>
            <family val="2"/>
          </rPr>
          <t>Congés Payés Inclus</t>
        </r>
        <r>
          <rPr>
            <b/>
            <sz val="9"/>
            <color indexed="81"/>
            <rFont val="Tahoma"/>
            <family val="2"/>
          </rPr>
          <t xml:space="preserve"> : 
</t>
        </r>
        <r>
          <rPr>
            <b/>
            <u/>
            <sz val="9"/>
            <color indexed="10"/>
            <rFont val="Tahoma"/>
            <family val="2"/>
          </rPr>
          <t>Indiquer séparément</t>
        </r>
        <r>
          <rPr>
            <sz val="9"/>
            <color indexed="81"/>
            <rFont val="Tahoma"/>
            <family val="2"/>
          </rPr>
          <t xml:space="preserve"> les salaires correspondant aux  Heures complémentaires et supplémentaires et </t>
        </r>
        <r>
          <rPr>
            <b/>
            <u/>
            <sz val="9"/>
            <color indexed="10"/>
            <rFont val="Tahoma"/>
            <family val="2"/>
          </rPr>
          <t xml:space="preserve">verse en plus du salaire de base </t>
        </r>
        <r>
          <rPr>
            <sz val="9"/>
            <color indexed="81"/>
            <rFont val="Tahoma"/>
            <family val="2"/>
          </rPr>
          <t>pour prendre en compte l exnération des cotisations et la défiscalisation sur le bulletin de salaire</t>
        </r>
        <r>
          <rPr>
            <b/>
            <sz val="9"/>
            <color indexed="81"/>
            <rFont val="Tahoma"/>
            <family val="2"/>
          </rPr>
          <t xml:space="preserve">
</t>
        </r>
        <r>
          <rPr>
            <b/>
            <sz val="9"/>
            <color indexed="17"/>
            <rFont val="Tahoma"/>
            <family val="2"/>
          </rPr>
          <t xml:space="preserve">Mensualisation </t>
        </r>
        <r>
          <rPr>
            <b/>
            <u/>
            <sz val="9"/>
            <color indexed="17"/>
            <rFont val="Tahoma"/>
            <family val="2"/>
          </rPr>
          <t>Congés payés Non Inclus</t>
        </r>
        <r>
          <rPr>
            <b/>
            <sz val="9"/>
            <color indexed="17"/>
            <rFont val="Tahoma"/>
            <family val="2"/>
          </rPr>
          <t>:</t>
        </r>
        <r>
          <rPr>
            <b/>
            <sz val="9"/>
            <color indexed="81"/>
            <rFont val="Tahoma"/>
            <family val="2"/>
          </rPr>
          <t xml:space="preserve">
</t>
        </r>
        <r>
          <rPr>
            <b/>
            <u/>
            <sz val="9"/>
            <color indexed="10"/>
            <rFont val="Tahoma"/>
            <family val="2"/>
          </rPr>
          <t xml:space="preserve">Indiquer séparément </t>
        </r>
        <r>
          <rPr>
            <sz val="9"/>
            <color indexed="81"/>
            <rFont val="Tahoma"/>
            <family val="2"/>
          </rPr>
          <t>les salaires correspondant aux  Heures complémentaires et supplémentaires pour prendre en compte l exnération des cotisations et la défiscalisation sur le bulletin de salaire</t>
        </r>
      </text>
    </comment>
    <comment ref="L23" authorId="1" shapeId="0" xr:uid="{0AAB6D5D-E5B7-4DB4-87A0-59E0B36DECFA}">
      <text>
        <r>
          <rPr>
            <b/>
            <sz val="9"/>
            <color indexed="53"/>
            <rFont val="Tahoma"/>
            <family val="2"/>
          </rPr>
          <t xml:space="preserve">Mensualisation </t>
        </r>
        <r>
          <rPr>
            <b/>
            <u/>
            <sz val="9"/>
            <color indexed="53"/>
            <rFont val="Tahoma"/>
            <family val="2"/>
          </rPr>
          <t xml:space="preserve">Congés Payés Inclus </t>
        </r>
        <r>
          <rPr>
            <b/>
            <sz val="9"/>
            <color indexed="57"/>
            <rFont val="Tahoma"/>
            <family val="2"/>
          </rPr>
          <t xml:space="preserve">: 
</t>
        </r>
        <r>
          <rPr>
            <sz val="9"/>
            <color indexed="81"/>
            <rFont val="Tahoma"/>
            <family val="2"/>
          </rPr>
          <t xml:space="preserve">Montant mensuel correspondant aux  11% de CP  sur les Heures complémentaires et supplémentaires </t>
        </r>
        <r>
          <rPr>
            <b/>
            <sz val="9"/>
            <color indexed="53"/>
            <rFont val="Tahoma"/>
            <family val="2"/>
          </rPr>
          <t>à verser en plus du salaire mensualisé de base</t>
        </r>
        <r>
          <rPr>
            <b/>
            <sz val="9"/>
            <color indexed="57"/>
            <rFont val="Tahoma"/>
            <family val="2"/>
          </rPr>
          <t xml:space="preserve">
Mensualisation </t>
        </r>
        <r>
          <rPr>
            <b/>
            <u/>
            <sz val="9"/>
            <color indexed="57"/>
            <rFont val="Tahoma"/>
            <family val="2"/>
          </rPr>
          <t>Congés payés Non Inclus:</t>
        </r>
        <r>
          <rPr>
            <b/>
            <sz val="9"/>
            <color indexed="57"/>
            <rFont val="Tahoma"/>
            <family val="2"/>
          </rPr>
          <t xml:space="preserve">
</t>
        </r>
        <r>
          <rPr>
            <sz val="9"/>
            <color indexed="81"/>
            <rFont val="Tahoma"/>
            <family val="2"/>
          </rPr>
          <t>Montant mensuel</t>
        </r>
        <r>
          <rPr>
            <b/>
            <sz val="9"/>
            <color indexed="57"/>
            <rFont val="Tahoma"/>
            <family val="2"/>
          </rPr>
          <t xml:space="preserve"> </t>
        </r>
        <r>
          <rPr>
            <b/>
            <sz val="9"/>
            <color indexed="10"/>
            <rFont val="Tahoma"/>
            <family val="2"/>
          </rPr>
          <t>à verser en plus du salaire</t>
        </r>
        <r>
          <rPr>
            <sz val="9"/>
            <color indexed="81"/>
            <rFont val="Tahoma"/>
            <family val="2"/>
          </rPr>
          <t xml:space="preserve"> correspondant aux 11% de CP  Heures complémentaires et supplémentaires</t>
        </r>
        <r>
          <rPr>
            <b/>
            <sz val="9"/>
            <color indexed="57"/>
            <rFont val="Tahoma"/>
            <family val="2"/>
          </rPr>
          <t xml:space="preserve">
</t>
        </r>
      </text>
    </comment>
    <comment ref="M23" authorId="0" shapeId="0" xr:uid="{141AE325-E251-4E2E-BFE6-BE26F6163D40}">
      <text>
        <r>
          <rPr>
            <b/>
            <sz val="9"/>
            <color indexed="52"/>
            <rFont val="Tahoma"/>
            <family val="2"/>
          </rPr>
          <t xml:space="preserve">Mensualisation </t>
        </r>
        <r>
          <rPr>
            <b/>
            <u/>
            <sz val="9"/>
            <color indexed="52"/>
            <rFont val="Tahoma"/>
            <family val="2"/>
          </rPr>
          <t>Congés Payés Inclus</t>
        </r>
        <r>
          <rPr>
            <b/>
            <sz val="9"/>
            <color indexed="52"/>
            <rFont val="Tahoma"/>
            <family val="2"/>
          </rPr>
          <t xml:space="preserve"> </t>
        </r>
        <r>
          <rPr>
            <b/>
            <sz val="9"/>
            <color indexed="51"/>
            <rFont val="Tahoma"/>
            <family val="2"/>
          </rPr>
          <t xml:space="preserve">: </t>
        </r>
        <r>
          <rPr>
            <sz val="9"/>
            <color indexed="81"/>
            <rFont val="Tahoma"/>
            <family val="2"/>
          </rPr>
          <t>11% CP Heures complémentaires et supplémentaires</t>
        </r>
        <r>
          <rPr>
            <b/>
            <sz val="9"/>
            <color indexed="81"/>
            <rFont val="Tahoma"/>
            <family val="2"/>
          </rPr>
          <t xml:space="preserve">
</t>
        </r>
        <r>
          <rPr>
            <b/>
            <sz val="9"/>
            <color indexed="57"/>
            <rFont val="Tahoma"/>
            <family val="2"/>
          </rPr>
          <t xml:space="preserve">Mensualisation </t>
        </r>
        <r>
          <rPr>
            <b/>
            <u/>
            <sz val="9"/>
            <color indexed="57"/>
            <rFont val="Tahoma"/>
            <family val="2"/>
          </rPr>
          <t>Congés payés Non Inclus</t>
        </r>
        <r>
          <rPr>
            <b/>
            <sz val="9"/>
            <color indexed="57"/>
            <rFont val="Tahoma"/>
            <family val="2"/>
          </rPr>
          <t>:</t>
        </r>
        <r>
          <rPr>
            <sz val="9"/>
            <color indexed="8"/>
            <rFont val="Tahoma"/>
            <family val="2"/>
          </rPr>
          <t xml:space="preserve">
Autre Formule de calcul intégrant mensuellement les 10% de CP dus sur le salaire de base et sur les H Compl et suppl et  </t>
        </r>
        <r>
          <rPr>
            <b/>
            <sz val="9"/>
            <color indexed="10"/>
            <rFont val="Tahoma"/>
            <family val="2"/>
          </rPr>
          <t>en fin d'année de référence seulement</t>
        </r>
        <r>
          <rPr>
            <sz val="9"/>
            <color indexed="8"/>
            <rFont val="Tahoma"/>
            <family val="2"/>
          </rPr>
          <t xml:space="preserve"> les 10% dus sur les  CP ( = montant équivalent cellule J 41)</t>
        </r>
      </text>
    </comment>
    <comment ref="O25" authorId="4" shapeId="0" xr:uid="{CBDF1245-181A-4BC3-A523-BDC94D590922}">
      <text>
        <r>
          <rPr>
            <sz val="9"/>
            <color indexed="8"/>
            <rFont val="Tahoma"/>
            <family val="2"/>
          </rPr>
          <t xml:space="preserve">Saisir le montant de la </t>
        </r>
        <r>
          <rPr>
            <u/>
            <sz val="9"/>
            <color indexed="8"/>
            <rFont val="Tahoma"/>
            <family val="2"/>
          </rPr>
          <t>mensualisation BRUT de base*</t>
        </r>
        <r>
          <rPr>
            <sz val="9"/>
            <color indexed="8"/>
            <rFont val="Tahoma"/>
            <family val="2"/>
          </rPr>
          <t xml:space="preserve"> en cours au moment de la prise des congés principaux  - Vérifier à la fin de l'année de référence et au moment de la rupture du contrat
*Les régularisations au titre d'heures complémentaires ou supplémentaires ainsi que les absences non rémunérées sont saisies dans la colonne J ou L</t>
        </r>
      </text>
    </comment>
    <comment ref="O27" authorId="0" shapeId="0" xr:uid="{E0CB4709-D761-448B-BC1A-742BE5514456}">
      <text>
        <r>
          <rPr>
            <sz val="9"/>
            <color indexed="81"/>
            <rFont val="Tahoma"/>
            <family val="2"/>
          </rPr>
          <t xml:space="preserve">Si </t>
        </r>
        <r>
          <rPr>
            <b/>
            <sz val="9"/>
            <color indexed="10"/>
            <rFont val="Tahoma"/>
            <family val="2"/>
          </rPr>
          <t>montant négatif</t>
        </r>
        <r>
          <rPr>
            <b/>
            <sz val="9"/>
            <color indexed="81"/>
            <rFont val="Tahoma"/>
            <family val="2"/>
          </rPr>
          <t xml:space="preserve"> </t>
        </r>
        <r>
          <rPr>
            <sz val="9"/>
            <color indexed="81"/>
            <rFont val="Tahoma"/>
            <family val="2"/>
          </rPr>
          <t xml:space="preserve">
 congés payés </t>
        </r>
        <r>
          <rPr>
            <sz val="9"/>
            <color indexed="10"/>
            <rFont val="Tahoma"/>
            <family val="2"/>
          </rPr>
          <t>non acquis &amp; pris par anticipation</t>
        </r>
        <r>
          <rPr>
            <sz val="9"/>
            <color indexed="81"/>
            <rFont val="Tahoma"/>
            <family val="2"/>
          </rPr>
          <t xml:space="preserve"> au moment de  la rupture du contrat ou en fin d'année référence génèrant le remboursement  du trop perçu à l'employeur </t>
        </r>
      </text>
    </comment>
    <comment ref="O31" authorId="0" shapeId="0" xr:uid="{7217D9A7-624F-45F1-9F41-C270D37DFFE3}">
      <text>
        <r>
          <rPr>
            <b/>
            <sz val="9"/>
            <color indexed="10"/>
            <rFont val="Tahoma"/>
            <family val="2"/>
          </rPr>
          <t>Régularisation à effectuer</t>
        </r>
        <r>
          <rPr>
            <b/>
            <sz val="9"/>
            <color indexed="81"/>
            <rFont val="Tahoma"/>
            <family val="2"/>
          </rPr>
          <t xml:space="preserve"> </t>
        </r>
        <r>
          <rPr>
            <sz val="9"/>
            <color indexed="81"/>
            <rFont val="Tahoma"/>
            <family val="2"/>
          </rPr>
          <t xml:space="preserve">
Si le montant est négatif rien ne s'inscrit </t>
        </r>
      </text>
    </comment>
    <comment ref="O32" authorId="0" shapeId="0" xr:uid="{70938A23-B417-416F-945A-4F11AFBDE976}">
      <text>
        <r>
          <rPr>
            <sz val="9"/>
            <color indexed="81"/>
            <rFont val="Tahoma"/>
            <family val="2"/>
          </rPr>
          <t xml:space="preserve">
</t>
        </r>
        <r>
          <rPr>
            <b/>
            <sz val="9"/>
            <color indexed="81"/>
            <rFont val="Tahoma"/>
            <family val="2"/>
          </rPr>
          <t xml:space="preserve">Méthode du 10ème </t>
        </r>
        <r>
          <rPr>
            <sz val="9"/>
            <color indexed="81"/>
            <rFont val="Tahoma"/>
            <family val="2"/>
          </rPr>
          <t xml:space="preserve">
</t>
        </r>
      </text>
    </comment>
    <comment ref="O33" authorId="0" shapeId="0" xr:uid="{76085668-0F3F-4DF6-B2BE-998E6E004CE0}">
      <text>
        <r>
          <rPr>
            <sz val="9"/>
            <color indexed="81"/>
            <rFont val="Tahoma"/>
            <family val="2"/>
          </rPr>
          <t>Si cette période est une</t>
        </r>
        <r>
          <rPr>
            <b/>
            <sz val="9"/>
            <color indexed="81"/>
            <rFont val="Tahoma"/>
            <family val="2"/>
          </rPr>
          <t xml:space="preserve"> fin de contrat -</t>
        </r>
        <r>
          <rPr>
            <b/>
            <sz val="9"/>
            <color indexed="10"/>
            <rFont val="Tahoma"/>
            <family val="2"/>
          </rPr>
          <t xml:space="preserve"> cellule G22 cochée "OUI" - </t>
        </r>
        <r>
          <rPr>
            <sz val="9"/>
            <color indexed="81"/>
            <rFont val="Tahoma"/>
            <family val="2"/>
          </rPr>
          <t xml:space="preserve">la </t>
        </r>
        <r>
          <rPr>
            <b/>
            <sz val="9"/>
            <color indexed="81"/>
            <rFont val="Tahoma"/>
            <family val="2"/>
          </rPr>
          <t>cellule O33</t>
        </r>
        <r>
          <rPr>
            <sz val="9"/>
            <color indexed="81"/>
            <rFont val="Tahoma"/>
            <family val="2"/>
          </rPr>
          <t xml:space="preserve"> doit être </t>
        </r>
        <r>
          <rPr>
            <b/>
            <sz val="9"/>
            <color indexed="81"/>
            <rFont val="Tahoma"/>
            <family val="2"/>
          </rPr>
          <t>cochée "NON"</t>
        </r>
      </text>
    </comment>
    <comment ref="N38" authorId="0" shapeId="0" xr:uid="{8FDEB1BD-63FC-4CB0-BF83-1F846BF50DAD}">
      <text>
        <r>
          <rPr>
            <sz val="9"/>
            <color indexed="81"/>
            <rFont val="Tahoma"/>
            <family val="2"/>
          </rPr>
          <t xml:space="preserve">Les congés payés </t>
        </r>
        <r>
          <rPr>
            <sz val="9"/>
            <color indexed="10"/>
            <rFont val="Tahoma"/>
            <family val="2"/>
          </rPr>
          <t xml:space="preserve">acquis &amp; </t>
        </r>
        <r>
          <rPr>
            <b/>
            <sz val="9"/>
            <color indexed="10"/>
            <rFont val="Tahoma"/>
            <family val="2"/>
          </rPr>
          <t>non pris</t>
        </r>
        <r>
          <rPr>
            <sz val="9"/>
            <color indexed="81"/>
            <rFont val="Tahoma"/>
            <family val="2"/>
          </rPr>
          <t xml:space="preserve"> au moment de  la rupture du contrat ou non reportés en fin d'année référence génèrent le versement  d' une indemnité compensatrice au salarié.
A contrario les congés payés</t>
        </r>
        <r>
          <rPr>
            <sz val="9"/>
            <color indexed="10"/>
            <rFont val="Tahoma"/>
            <family val="2"/>
          </rPr>
          <t xml:space="preserve"> non acquis &amp; pris par anticipation</t>
        </r>
        <r>
          <rPr>
            <sz val="9"/>
            <color indexed="81"/>
            <rFont val="Tahoma"/>
            <family val="2"/>
          </rPr>
          <t xml:space="preserve"> au moment de  la rupture du contrat ou non déduits de l'année référence suivante génèrent le remboursement  du trop perçu à l'employeur (Cf cellule O27 si négatif).Cependant la régularisation au titre de la méthode la plus favorable reste due.</t>
        </r>
        <r>
          <rPr>
            <sz val="11"/>
            <color indexed="81"/>
            <rFont val="Tahoma"/>
            <family val="2"/>
          </rPr>
          <t xml:space="preserve">
</t>
        </r>
      </text>
    </comment>
    <comment ref="O38" authorId="0" shapeId="0" xr:uid="{FECEBEF5-8601-4FFF-AC19-CA92D0DCB9A7}">
      <text>
        <r>
          <rPr>
            <sz val="9"/>
            <color indexed="81"/>
            <rFont val="Tahoma"/>
            <family val="2"/>
          </rPr>
          <t xml:space="preserve">Soit :
- </t>
        </r>
        <r>
          <rPr>
            <b/>
            <sz val="9"/>
            <color indexed="81"/>
            <rFont val="Tahoma"/>
            <family val="2"/>
          </rPr>
          <t>Si la cellule O31 est inactive :</t>
        </r>
        <r>
          <rPr>
            <sz val="9"/>
            <color indexed="81"/>
            <rFont val="Tahoma"/>
            <family val="2"/>
          </rPr>
          <t xml:space="preserve">
La somme est égale à la cellule O27                                                                                                                                                                                                                                                                                                                                                                                                                                                                                                                                                                                                                                                                                                                                                                                                                                                                                                                                                                                                                                                                                                                                                                                                                                                         </t>
        </r>
        <r>
          <rPr>
            <sz val="9"/>
            <color indexed="10"/>
            <rFont val="Tahoma"/>
            <family val="2"/>
          </rPr>
          <t>en absence de report des congés</t>
        </r>
        <r>
          <rPr>
            <sz val="9"/>
            <color indexed="81"/>
            <rFont val="Tahoma"/>
            <family val="2"/>
          </rPr>
          <t xml:space="preserve">
La somme nulle </t>
        </r>
        <r>
          <rPr>
            <sz val="9"/>
            <color indexed="10"/>
            <rFont val="Tahoma"/>
            <family val="2"/>
          </rPr>
          <t>si report des congés</t>
        </r>
        <r>
          <rPr>
            <sz val="9"/>
            <color indexed="81"/>
            <rFont val="Tahoma"/>
            <family val="2"/>
          </rPr>
          <t xml:space="preserve">
</t>
        </r>
        <r>
          <rPr>
            <b/>
            <sz val="9"/>
            <color indexed="81"/>
            <rFont val="Tahoma"/>
            <family val="2"/>
          </rPr>
          <t>- Si la cellule O31 est active :</t>
        </r>
        <r>
          <rPr>
            <sz val="9"/>
            <color indexed="81"/>
            <rFont val="Tahoma"/>
            <family val="2"/>
          </rPr>
          <t xml:space="preserve"> 
</t>
        </r>
        <r>
          <rPr>
            <b/>
            <sz val="9"/>
            <color indexed="10"/>
            <rFont val="Tahoma"/>
            <family val="2"/>
          </rPr>
          <t xml:space="preserve">Et </t>
        </r>
        <r>
          <rPr>
            <sz val="9"/>
            <color indexed="10"/>
            <rFont val="Tahoma"/>
            <family val="2"/>
          </rPr>
          <t>en absence de report des congés ,</t>
        </r>
        <r>
          <rPr>
            <sz val="9"/>
            <color indexed="81"/>
            <rFont val="Tahoma"/>
            <family val="2"/>
          </rPr>
          <t xml:space="preserve"> La somme est égale à la cellule O27 +O31 (soit la différence de la cellule O28 moins J40/41 au titre de régularisation du plus favorable et les CP acquis et non pris)
</t>
        </r>
        <r>
          <rPr>
            <sz val="9"/>
            <color indexed="10"/>
            <rFont val="Tahoma"/>
            <family val="2"/>
          </rPr>
          <t xml:space="preserve">Avec de report des congés </t>
        </r>
        <r>
          <rPr>
            <sz val="9"/>
            <color indexed="81"/>
            <rFont val="Tahoma"/>
            <family val="2"/>
          </rPr>
          <t xml:space="preserve">, la somme est égale à la cellule O31 au titre de régularisation du plus favorable </t>
        </r>
        <r>
          <rPr>
            <sz val="10"/>
            <color indexed="81"/>
            <rFont val="Tahoma"/>
            <family val="2"/>
          </rPr>
          <t xml:space="preserve">
</t>
        </r>
      </text>
    </comment>
    <comment ref="A39" authorId="0" shapeId="0" xr:uid="{674A7F26-793F-442C-8F30-011D3D3A23DF}">
      <text>
        <r>
          <rPr>
            <sz val="11"/>
            <color indexed="81"/>
            <rFont val="Tahoma"/>
            <family val="2"/>
          </rPr>
          <t>* Déduction des CP en cas d’arrêt de travail pour maladie non professionnelle au-delà de  38,4 semaines/année de référence
et Déduction des CP EXCLUSIVEMENT en cas de début ou fin de contrat en cours de mois
NOTA : VOIR ONGLET "Explication déduction CP"</t>
        </r>
      </text>
    </comment>
    <comment ref="E39" authorId="0" shapeId="0" xr:uid="{B4A6D52F-073A-4958-A053-5B1EA60F478F}">
      <text>
        <r>
          <rPr>
            <sz val="12"/>
            <color indexed="81"/>
            <rFont val="Tahoma"/>
            <family val="2"/>
          </rPr>
          <t>NOTA : La saisie se fait dans l'onglet Explication déduction CP
Le contrat ANAMAAF est en conformité avec l’article 7 de la directive européenne CE 2003/88/CE du 04 novembre 2003, et la décision de la Cour de Justice Européenne  dans son arrêt du 24 Janvier 2012, - tout salarié absent en raison d’une maladie professionnelle ou non (ou en chômage partiel) a droit à un congé annuel payé d’au moins  4 semaines - c’est l’année de référence qui fixe le début et la fin – exemple un arrêt continu de 43 semaines réparti sur 2 années de référence   ne génère pas de déduction de jours de congés payés acquis
Il gère aussi la déduction de CP en cas de début ou fin de contrat en cours de mois : Suivre les indications de l'onglet Explication déduction CP à partir de la ligne 34</t>
        </r>
      </text>
    </comment>
    <comment ref="E40" authorId="1" shapeId="0" xr:uid="{6F48C893-5E9C-4D1C-A352-54E9CCB86007}">
      <text>
        <r>
          <rPr>
            <sz val="9"/>
            <color indexed="81"/>
            <rFont val="Tahoma"/>
            <family val="2"/>
          </rPr>
          <t xml:space="preserve">Les </t>
        </r>
        <r>
          <rPr>
            <b/>
            <sz val="9"/>
            <color indexed="81"/>
            <rFont val="Tahoma"/>
            <family val="2"/>
          </rPr>
          <t>congés payés</t>
        </r>
        <r>
          <rPr>
            <sz val="9"/>
            <color indexed="81"/>
            <rFont val="Tahoma"/>
            <family val="2"/>
          </rPr>
          <t xml:space="preserve"> se  prennent en </t>
        </r>
        <r>
          <rPr>
            <b/>
            <sz val="9"/>
            <color indexed="81"/>
            <rFont val="Tahoma"/>
            <family val="2"/>
          </rPr>
          <t>jour entier</t>
        </r>
        <r>
          <rPr>
            <sz val="9"/>
            <color indexed="81"/>
            <rFont val="Tahoma"/>
            <family val="2"/>
          </rPr>
          <t xml:space="preserve"> et sont </t>
        </r>
        <r>
          <rPr>
            <b/>
            <sz val="9"/>
            <color indexed="81"/>
            <rFont val="Tahoma"/>
            <family val="2"/>
          </rPr>
          <t>non fractionnables.</t>
        </r>
        <r>
          <rPr>
            <sz val="9"/>
            <color indexed="81"/>
            <rFont val="Tahoma"/>
            <family val="2"/>
          </rPr>
          <t xml:space="preserve">
</t>
        </r>
      </text>
    </comment>
    <comment ref="J40" authorId="0" shapeId="0" xr:uid="{2EDBBB76-F539-4010-8096-C24A93570EC6}">
      <text>
        <r>
          <rPr>
            <b/>
            <sz val="9"/>
            <color indexed="51"/>
            <rFont val="Tahoma"/>
            <family val="2"/>
          </rPr>
          <t>Mensualisation Congés payés inclus</t>
        </r>
        <r>
          <rPr>
            <b/>
            <sz val="9"/>
            <color indexed="81"/>
            <rFont val="Tahoma"/>
            <family val="2"/>
          </rPr>
          <t xml:space="preserve">
</t>
        </r>
        <r>
          <rPr>
            <sz val="9"/>
            <color indexed="8"/>
            <rFont val="Tahoma"/>
            <family val="2"/>
          </rPr>
          <t>Total des congés payés mensualisés et de ceux perçus ou à percevoir sur les heures complémentaires et supplémentaires</t>
        </r>
      </text>
    </comment>
    <comment ref="C41" authorId="1" shapeId="0" xr:uid="{02578541-CC43-402A-A101-95FA49CECC70}">
      <text>
        <r>
          <rPr>
            <sz val="9"/>
            <color indexed="81"/>
            <rFont val="Tahoma"/>
            <family val="2"/>
          </rPr>
          <t xml:space="preserve">Insérer le </t>
        </r>
        <r>
          <rPr>
            <b/>
            <sz val="9"/>
            <color indexed="81"/>
            <rFont val="Tahoma"/>
            <family val="2"/>
          </rPr>
          <t>nombre d'enfants du salarié</t>
        </r>
        <r>
          <rPr>
            <sz val="9"/>
            <color indexed="81"/>
            <rFont val="Tahoma"/>
            <family val="2"/>
          </rPr>
          <t xml:space="preserve"> âgée de</t>
        </r>
        <r>
          <rPr>
            <b/>
            <sz val="9"/>
            <color indexed="81"/>
            <rFont val="Tahoma"/>
            <family val="2"/>
          </rPr>
          <t xml:space="preserve"> moins de 15 ans* au 30 avril </t>
        </r>
        <r>
          <rPr>
            <sz val="9"/>
            <color indexed="81"/>
            <rFont val="Tahoma"/>
            <family val="2"/>
          </rPr>
          <t xml:space="preserve">de l'année civile en cours
Congés acquis </t>
        </r>
        <r>
          <rPr>
            <b/>
            <sz val="9"/>
            <color indexed="81"/>
            <rFont val="Tahoma"/>
            <family val="2"/>
          </rPr>
          <t>seulement la 1ère année de référence</t>
        </r>
        <r>
          <rPr>
            <sz val="9"/>
            <color indexed="81"/>
            <rFont val="Tahoma"/>
            <family val="2"/>
          </rPr>
          <t xml:space="preserve">  et  seulement si celle-ci ne comporte pas 12 mois de travail avec édition de 12 bulletins de  salaire 
* Sans condition d’âge pour les enfants handicapés vivant au domicile du salarié</t>
        </r>
      </text>
    </comment>
    <comment ref="D41" authorId="0" shapeId="0" xr:uid="{C80676A5-1AFC-4484-99CF-E8FF53F8B484}">
      <text>
        <r>
          <rPr>
            <b/>
            <u/>
            <sz val="9"/>
            <color indexed="81"/>
            <rFont val="Tahoma"/>
            <family val="2"/>
          </rPr>
          <t xml:space="preserve">
</t>
        </r>
        <r>
          <rPr>
            <u/>
            <sz val="9"/>
            <color indexed="81"/>
            <rFont val="Tahoma"/>
            <family val="2"/>
          </rPr>
          <t>Congé supplémentaire par enfant à charge (</t>
        </r>
        <r>
          <rPr>
            <i/>
            <sz val="8"/>
            <color indexed="81"/>
            <rFont val="Tahoma"/>
            <family val="2"/>
          </rPr>
          <t>Est réputé enfant à charge l'enfant qui vit au foyer et est âgé de moins de quinze ans au 30 avril de l'année en cours.)</t>
        </r>
        <r>
          <rPr>
            <u/>
            <sz val="9"/>
            <color indexed="81"/>
            <rFont val="Tahoma"/>
            <family val="2"/>
          </rPr>
          <t xml:space="preserve">
</t>
        </r>
        <r>
          <rPr>
            <sz val="9"/>
            <color indexed="81"/>
            <rFont val="Tahoma"/>
            <family val="2"/>
          </rPr>
          <t xml:space="preserve">Indiquer </t>
        </r>
        <r>
          <rPr>
            <b/>
            <sz val="9"/>
            <color indexed="10"/>
            <rFont val="Tahoma"/>
            <family val="2"/>
          </rPr>
          <t>1</t>
        </r>
        <r>
          <rPr>
            <b/>
            <sz val="9"/>
            <color indexed="81"/>
            <rFont val="Tahoma"/>
            <family val="2"/>
          </rPr>
          <t>/enfant à charge</t>
        </r>
        <r>
          <rPr>
            <sz val="9"/>
            <color indexed="81"/>
            <rFont val="Tahoma"/>
            <family val="2"/>
          </rPr>
          <t xml:space="preserve"> (Cf commentaire ci contre)  si vous êtes un salarié agée de </t>
        </r>
        <r>
          <rPr>
            <u/>
            <sz val="9"/>
            <color indexed="10"/>
            <rFont val="Tahoma"/>
            <family val="2"/>
          </rPr>
          <t>moins de 21 ans</t>
        </r>
        <r>
          <rPr>
            <u/>
            <sz val="9"/>
            <color indexed="81"/>
            <rFont val="Tahoma"/>
            <family val="2"/>
          </rPr>
          <t xml:space="preserve"> au 30 avril de l'année précédente</t>
        </r>
        <r>
          <rPr>
            <sz val="9"/>
            <color indexed="81"/>
            <rFont val="Tahoma"/>
            <family val="2"/>
          </rPr>
          <t xml:space="preserve"> et si le nombre de jours de</t>
        </r>
        <r>
          <rPr>
            <sz val="9"/>
            <color indexed="10"/>
            <rFont val="Tahoma"/>
            <family val="2"/>
          </rPr>
          <t xml:space="preserve"> </t>
        </r>
        <r>
          <rPr>
            <u/>
            <sz val="9"/>
            <color indexed="10"/>
            <rFont val="Tahoma"/>
            <family val="2"/>
          </rPr>
          <t>congés légaux acquis</t>
        </r>
        <r>
          <rPr>
            <sz val="9"/>
            <color indexed="81"/>
            <rFont val="Tahoma"/>
            <family val="2"/>
          </rPr>
          <t xml:space="preserve"> pour cette période  est de </t>
        </r>
        <r>
          <rPr>
            <u/>
            <sz val="9"/>
            <color indexed="10"/>
            <rFont val="Tahoma"/>
            <family val="2"/>
          </rPr>
          <t>6 jours maximum</t>
        </r>
        <r>
          <rPr>
            <sz val="9"/>
            <color indexed="81"/>
            <rFont val="Tahoma"/>
            <family val="2"/>
          </rPr>
          <t xml:space="preserve">.
</t>
        </r>
        <r>
          <rPr>
            <sz val="9"/>
            <color indexed="10"/>
            <rFont val="Tahoma"/>
            <family val="2"/>
          </rPr>
          <t>Dans tous les autres cas</t>
        </r>
        <r>
          <rPr>
            <sz val="9"/>
            <color indexed="81"/>
            <rFont val="Tahoma"/>
            <family val="2"/>
          </rPr>
          <t xml:space="preserve"> indiquer </t>
        </r>
        <r>
          <rPr>
            <b/>
            <sz val="9"/>
            <color indexed="10"/>
            <rFont val="Tahoma"/>
            <family val="2"/>
          </rPr>
          <t>2</t>
        </r>
        <r>
          <rPr>
            <b/>
            <sz val="9"/>
            <color indexed="81"/>
            <rFont val="Tahoma"/>
            <family val="2"/>
          </rPr>
          <t xml:space="preserve"> /enfant à charge</t>
        </r>
        <r>
          <rPr>
            <sz val="9"/>
            <color indexed="81"/>
            <rFont val="Tahoma"/>
            <family val="2"/>
          </rPr>
          <t xml:space="preserve"> 
</t>
        </r>
      </text>
    </comment>
    <comment ref="E41" authorId="1" shapeId="0" xr:uid="{4364CC32-A9AE-4E9D-81B8-72FB14824CFD}">
      <text>
        <r>
          <rPr>
            <sz val="9"/>
            <color indexed="81"/>
            <rFont val="Tahoma"/>
            <family val="2"/>
          </rPr>
          <t xml:space="preserve">Congés acquis seulement la 1ère année de référence  et  seulement si celle-ci ne comporte pas 12 mois de travail avec édition de 12 bulletins de  salaire. 
</t>
        </r>
        <r>
          <rPr>
            <sz val="9"/>
            <color indexed="10"/>
            <rFont val="Tahoma"/>
            <family val="2"/>
          </rPr>
          <t xml:space="preserve">Ces jours de congés payés supplémentaires viennent </t>
        </r>
        <r>
          <rPr>
            <b/>
            <sz val="9"/>
            <color indexed="10"/>
            <rFont val="Tahoma"/>
            <family val="2"/>
          </rPr>
          <t>compléter jusqu' au maximum</t>
        </r>
        <r>
          <rPr>
            <sz val="9"/>
            <color indexed="10"/>
            <rFont val="Tahoma"/>
            <family val="2"/>
          </rPr>
          <t xml:space="preserve"> des 30 de congés légaux</t>
        </r>
        <r>
          <rPr>
            <sz val="9"/>
            <color indexed="81"/>
            <rFont val="Tahoma"/>
            <family val="2"/>
          </rPr>
          <t xml:space="preserve">
</t>
        </r>
      </text>
    </comment>
    <comment ref="E42" authorId="1" shapeId="0" xr:uid="{FE5BD3D6-3A62-4FCC-88CB-51B1424A02AB}">
      <text>
        <r>
          <rPr>
            <sz val="9"/>
            <color indexed="81"/>
            <rFont val="Tahoma"/>
            <family val="2"/>
          </rPr>
          <t xml:space="preserve">Jours de congés payés supplémentaires acquis si  maximum 24 jours ouvrables de congés pris* sont fractionnées en plusieurs fois (minimum obligatoire -si acquis -  12 jours ouvrables  consécutifs entre le 1er mai et le 31 octobre) :
- 2 jours de congés supplémentaires si 6 jours de congés sont pris séparément entre le 1er Novembre et le 30 Avril.
- 1 jour de congé supplémentaire si 3 à 5 jours de congés sont pris séparément entre le 1er Novembre et le 30 Avril..
* la 5ème semaine de congés payés n'entre pas dans le calcul du droit au jour de fractionnement .
</t>
        </r>
        <r>
          <rPr>
            <sz val="9"/>
            <color indexed="10"/>
            <rFont val="Tahoma"/>
            <family val="2"/>
          </rPr>
          <t xml:space="preserve">Ces jours de fractionnement </t>
        </r>
        <r>
          <rPr>
            <b/>
            <sz val="9"/>
            <color indexed="10"/>
            <rFont val="Tahoma"/>
            <family val="2"/>
          </rPr>
          <t xml:space="preserve">se cumulent en plus </t>
        </r>
        <r>
          <rPr>
            <sz val="9"/>
            <color indexed="10"/>
            <rFont val="Tahoma"/>
            <family val="2"/>
          </rPr>
          <t>du nombre de jours ce congés payés acquis.</t>
        </r>
        <r>
          <rPr>
            <sz val="9"/>
            <color indexed="81"/>
            <rFont val="Tahoma"/>
            <family val="2"/>
          </rPr>
          <t xml:space="preserve"> </t>
        </r>
      </text>
    </comment>
    <comment ref="E43" authorId="0" shapeId="0" xr:uid="{B0CACFE2-EDF4-4124-89B4-5AEBE7E4CE66}">
      <text>
        <r>
          <rPr>
            <sz val="9"/>
            <color indexed="81"/>
            <rFont val="Tahoma"/>
            <family val="2"/>
          </rPr>
          <t xml:space="preserve">Total jours ouvrables acquis : Congés légaux - congés mère/père de famille le cas échéant et jours de fractionnement </t>
        </r>
        <r>
          <rPr>
            <b/>
            <i/>
            <u/>
            <sz val="9"/>
            <color indexed="81"/>
            <rFont val="Tahoma"/>
            <family val="2"/>
          </rPr>
          <t xml:space="preserve">
</t>
        </r>
      </text>
    </comment>
    <comment ref="L46" authorId="2" shapeId="0" xr:uid="{3A169F7D-882B-47F5-B1B2-80417AF027DF}">
      <text>
        <r>
          <rPr>
            <sz val="9"/>
            <color indexed="81"/>
            <rFont val="Tahoma"/>
            <family val="2"/>
          </rPr>
          <t xml:space="preserve">Date de fin d'année de référence des congés payés fixée au contrat de travail
</t>
        </r>
        <r>
          <rPr>
            <b/>
            <sz val="9"/>
            <color indexed="81"/>
            <rFont val="Tahoma"/>
            <family val="2"/>
          </rPr>
          <t>ou</t>
        </r>
        <r>
          <rPr>
            <sz val="9"/>
            <color indexed="81"/>
            <rFont val="Tahoma"/>
            <family val="2"/>
          </rPr>
          <t xml:space="preserve"> le cas échéant de rupture du contrat.
Format 00/00/0000</t>
        </r>
      </text>
    </comment>
    <comment ref="A52" authorId="0" shapeId="0" xr:uid="{8543077C-AC85-45CB-9900-251EB9AD5894}">
      <text>
        <r>
          <rPr>
            <b/>
            <sz val="9"/>
            <color indexed="81"/>
            <rFont val="Tahoma"/>
            <family val="2"/>
          </rPr>
          <t xml:space="preserve">Soit 2,5 jours ouvrables*/mois </t>
        </r>
        <r>
          <rPr>
            <b/>
            <u/>
            <sz val="9"/>
            <color indexed="53"/>
            <rFont val="Tahoma"/>
            <family val="2"/>
          </rPr>
          <t>quelque soit la durée effective de travail au cours du mois.</t>
        </r>
        <r>
          <rPr>
            <b/>
            <sz val="9"/>
            <color indexed="53"/>
            <rFont val="Tahoma"/>
            <family val="2"/>
          </rPr>
          <t xml:space="preserve">
</t>
        </r>
        <r>
          <rPr>
            <b/>
            <sz val="9"/>
            <color indexed="81"/>
            <rFont val="Tahoma"/>
            <family val="2"/>
          </rPr>
          <t xml:space="preserve">
</t>
        </r>
        <r>
          <rPr>
            <sz val="9"/>
            <color indexed="81"/>
            <rFont val="Tahoma"/>
            <family val="2"/>
          </rPr>
          <t>En cas de début ou de fin de contrat au cours  du mois, il convient de vérifier le nombre de périodes de 4 semaines entre le début et la fin de l'année de référence : 2,5 jours ouvrables/période de  4 semaines.</t>
        </r>
        <r>
          <rPr>
            <b/>
            <sz val="9"/>
            <color indexed="81"/>
            <rFont val="Tahoma"/>
            <family val="2"/>
          </rPr>
          <t xml:space="preserve">
12 mois ou 12 périodes de 4 semaines = 30 jours ouvrables de congés payés acquis auxquels se rajoutent le  cas échéant les jours de fractionnement.
</t>
        </r>
        <r>
          <rPr>
            <sz val="9"/>
            <color indexed="8"/>
            <rFont val="Tahoma"/>
            <family val="2"/>
          </rPr>
          <t xml:space="preserve">Le contrat de travail ANAMAAF prévoit - selon la directive européenne - l'acquisition des congés payés en arrêt maladie non professionnelle. 
Les congés payés (2,5 jours ouvrables/mois) restent acquis durant le congé maternité - l'arrêt pour accident du travail et maladie professionnelle ainsi que durant la période de prise des congés payés.
Les semaines d'absence - non travaillées - de congés sans solde prises en compte dans le calcul de la mensualistion pour une modulation annuelle du salaire (temps partiel) , n' interfèrent nullement dans l'acquisition des droits au Congé payé acquis: un salarié à temps partiel - quelque soit la durée effective - acquiert autant de jours de congés payés </t>
        </r>
        <r>
          <rPr>
            <b/>
            <sz val="9"/>
            <color indexed="8"/>
            <rFont val="Tahoma"/>
            <family val="2"/>
          </rPr>
          <t xml:space="preserve">en durée </t>
        </r>
        <r>
          <rPr>
            <sz val="9"/>
            <color indexed="8"/>
            <rFont val="Tahoma"/>
            <family val="2"/>
          </rPr>
          <t>qu'un salarié à temps plein. Seul le montant de la rémunération  de ces congés payés  est proportionnel au salaire versé pour le temps de travail prévu par le contrat.</t>
        </r>
        <r>
          <rPr>
            <b/>
            <sz val="9"/>
            <color indexed="81"/>
            <rFont val="Tahoma"/>
            <family val="2"/>
          </rPr>
          <t xml:space="preserve">
* Jours ouvrables = tous les jours de la semaine à l'exception du Dimanche et des jours fériés</t>
        </r>
      </text>
    </comment>
    <comment ref="I52" authorId="0" shapeId="0" xr:uid="{28D2578E-D685-4C13-9A45-DDA77AB317B6}">
      <text>
        <r>
          <rPr>
            <b/>
            <sz val="9"/>
            <color indexed="57"/>
            <rFont val="Tahoma"/>
            <family val="2"/>
          </rPr>
          <t xml:space="preserve">Mensualisation </t>
        </r>
        <r>
          <rPr>
            <b/>
            <u/>
            <sz val="9"/>
            <color indexed="57"/>
            <rFont val="Tahoma"/>
            <family val="2"/>
          </rPr>
          <t>Congés payés Non Inclus</t>
        </r>
        <r>
          <rPr>
            <b/>
            <sz val="9"/>
            <color indexed="57"/>
            <rFont val="Tahoma"/>
            <family val="2"/>
          </rPr>
          <t>:</t>
        </r>
        <r>
          <rPr>
            <b/>
            <sz val="9"/>
            <color indexed="81"/>
            <rFont val="Tahoma"/>
            <family val="2"/>
          </rPr>
          <t xml:space="preserve">
</t>
        </r>
        <r>
          <rPr>
            <sz val="9"/>
            <color indexed="8"/>
            <rFont val="Tahoma"/>
            <family val="2"/>
          </rPr>
          <t>Indiquer le salaire mensualisé -</t>
        </r>
        <r>
          <rPr>
            <b/>
            <sz val="9"/>
            <color indexed="10"/>
            <rFont val="Tahoma"/>
            <family val="2"/>
          </rPr>
          <t xml:space="preserve"> Sans les heures compl ou suppl </t>
        </r>
        <r>
          <rPr>
            <sz val="9"/>
            <color indexed="8"/>
            <rFont val="Tahoma"/>
            <family val="2"/>
          </rPr>
          <t xml:space="preserve">- minoré le cas échéant en cas d'absence 
</t>
        </r>
        <r>
          <rPr>
            <b/>
            <sz val="9"/>
            <color indexed="8"/>
            <rFont val="Tahoma"/>
            <family val="2"/>
          </rPr>
          <t xml:space="preserve">
</t>
        </r>
        <r>
          <rPr>
            <b/>
            <sz val="9"/>
            <color indexed="52"/>
            <rFont val="Tahoma"/>
            <family val="2"/>
          </rPr>
          <t xml:space="preserve">Mensualisation </t>
        </r>
        <r>
          <rPr>
            <b/>
            <u/>
            <sz val="9"/>
            <color indexed="52"/>
            <rFont val="Tahoma"/>
            <family val="2"/>
          </rPr>
          <t xml:space="preserve">Congés Payés Inclus </t>
        </r>
        <r>
          <rPr>
            <b/>
            <sz val="9"/>
            <color indexed="52"/>
            <rFont val="Tahoma"/>
            <family val="2"/>
          </rPr>
          <t>:</t>
        </r>
        <r>
          <rPr>
            <b/>
            <sz val="9"/>
            <color indexed="8"/>
            <rFont val="Tahoma"/>
            <family val="2"/>
          </rPr>
          <t xml:space="preserve">
</t>
        </r>
        <r>
          <rPr>
            <sz val="9"/>
            <color indexed="8"/>
            <rFont val="Tahoma"/>
            <family val="2"/>
          </rPr>
          <t>Indiquer le salaire mensualisé -</t>
        </r>
        <r>
          <rPr>
            <b/>
            <sz val="9"/>
            <color indexed="10"/>
            <rFont val="Tahoma"/>
            <family val="2"/>
          </rPr>
          <t xml:space="preserve"> Sans les heures compl ou supp</t>
        </r>
        <r>
          <rPr>
            <sz val="9"/>
            <color indexed="8"/>
            <rFont val="Tahoma"/>
            <family val="2"/>
          </rPr>
          <t xml:space="preserve"> - lminoré le cas échéant en cas d'absence</t>
        </r>
      </text>
    </comment>
    <comment ref="J52" authorId="1" shapeId="0" xr:uid="{96FADD92-6CE2-48D9-B035-B0FA1EB09F09}">
      <text>
        <r>
          <rPr>
            <b/>
            <sz val="9"/>
            <color indexed="52"/>
            <rFont val="Tahoma"/>
            <family val="2"/>
          </rPr>
          <t xml:space="preserve">Mensualisation </t>
        </r>
        <r>
          <rPr>
            <b/>
            <u/>
            <sz val="9"/>
            <color indexed="52"/>
            <rFont val="Tahoma"/>
            <family val="2"/>
          </rPr>
          <t>Congés Payés Inclus</t>
        </r>
        <r>
          <rPr>
            <sz val="9"/>
            <color indexed="81"/>
            <rFont val="Tahoma"/>
            <family val="2"/>
          </rPr>
          <t xml:space="preserve"> : Montant mensuel correspondant aux  CP </t>
        </r>
        <r>
          <rPr>
            <b/>
            <u/>
            <sz val="9"/>
            <color indexed="81"/>
            <rFont val="Tahoma"/>
            <family val="2"/>
          </rPr>
          <t>inclus dans le salaire</t>
        </r>
        <r>
          <rPr>
            <sz val="9"/>
            <color indexed="81"/>
            <rFont val="Tahoma"/>
            <family val="2"/>
          </rPr>
          <t xml:space="preserve">  </t>
        </r>
        <r>
          <rPr>
            <b/>
            <u/>
            <sz val="9"/>
            <color indexed="10"/>
            <rFont val="Tahoma"/>
            <family val="2"/>
          </rPr>
          <t>HORMIS CP</t>
        </r>
        <r>
          <rPr>
            <sz val="9"/>
            <color indexed="10"/>
            <rFont val="Tahoma"/>
            <family val="2"/>
          </rPr>
          <t xml:space="preserve"> Heures complémentaires et supplémentaires</t>
        </r>
        <r>
          <rPr>
            <sz val="9"/>
            <color indexed="81"/>
            <rFont val="Tahoma"/>
            <family val="2"/>
          </rPr>
          <t xml:space="preserve">
</t>
        </r>
        <r>
          <rPr>
            <b/>
            <sz val="9"/>
            <color indexed="57"/>
            <rFont val="Tahoma"/>
            <family val="2"/>
          </rPr>
          <t xml:space="preserve">Mensualisation </t>
        </r>
        <r>
          <rPr>
            <b/>
            <u/>
            <sz val="9"/>
            <color indexed="57"/>
            <rFont val="Tahoma"/>
            <family val="2"/>
          </rPr>
          <t>Congés payés Non Inclus</t>
        </r>
        <r>
          <rPr>
            <sz val="9"/>
            <color indexed="81"/>
            <rFont val="Tahoma"/>
            <family val="2"/>
          </rPr>
          <t>:
Montant mensuel à</t>
        </r>
        <r>
          <rPr>
            <b/>
            <u/>
            <sz val="9"/>
            <color indexed="81"/>
            <rFont val="Tahoma"/>
            <family val="2"/>
          </rPr>
          <t xml:space="preserve"> verser en plus du salaire</t>
        </r>
        <r>
          <rPr>
            <sz val="9"/>
            <color indexed="81"/>
            <rFont val="Tahoma"/>
            <family val="2"/>
          </rPr>
          <t xml:space="preserve"> correspondant aux </t>
        </r>
        <r>
          <rPr>
            <b/>
            <sz val="9"/>
            <color indexed="81"/>
            <rFont val="Tahoma"/>
            <family val="2"/>
          </rPr>
          <t>11%</t>
        </r>
        <r>
          <rPr>
            <sz val="9"/>
            <color indexed="81"/>
            <rFont val="Tahoma"/>
            <family val="2"/>
          </rPr>
          <t xml:space="preserve"> de CP </t>
        </r>
        <r>
          <rPr>
            <b/>
            <u/>
            <sz val="9"/>
            <color indexed="81"/>
            <rFont val="Tahoma"/>
            <family val="2"/>
          </rPr>
          <t xml:space="preserve">sur le salaire mensuel de base càd   </t>
        </r>
        <r>
          <rPr>
            <b/>
            <u/>
            <sz val="9"/>
            <color indexed="10"/>
            <rFont val="Tahoma"/>
            <family val="2"/>
          </rPr>
          <t>HORMIS CP</t>
        </r>
        <r>
          <rPr>
            <b/>
            <u/>
            <sz val="9"/>
            <color indexed="81"/>
            <rFont val="Tahoma"/>
            <family val="2"/>
          </rPr>
          <t xml:space="preserve"> Heures complémentaires et supplémentaires</t>
        </r>
      </text>
    </comment>
    <comment ref="K52" authorId="3" shapeId="0" xr:uid="{59756C54-E3D0-48C1-B642-596B350E7E88}">
      <text>
        <r>
          <rPr>
            <b/>
            <sz val="9"/>
            <color indexed="53"/>
            <rFont val="Tahoma"/>
            <family val="2"/>
          </rPr>
          <t xml:space="preserve">Mensualisation </t>
        </r>
        <r>
          <rPr>
            <b/>
            <u/>
            <sz val="9"/>
            <color indexed="53"/>
            <rFont val="Tahoma"/>
            <family val="2"/>
          </rPr>
          <t>Congés Payés Inclus</t>
        </r>
        <r>
          <rPr>
            <b/>
            <sz val="9"/>
            <color indexed="81"/>
            <rFont val="Tahoma"/>
            <family val="2"/>
          </rPr>
          <t xml:space="preserve"> : 
</t>
        </r>
        <r>
          <rPr>
            <b/>
            <u/>
            <sz val="9"/>
            <color indexed="10"/>
            <rFont val="Tahoma"/>
            <family val="2"/>
          </rPr>
          <t>Indiquer séparément</t>
        </r>
        <r>
          <rPr>
            <sz val="9"/>
            <color indexed="81"/>
            <rFont val="Tahoma"/>
            <family val="2"/>
          </rPr>
          <t xml:space="preserve"> les salaires correspondant aux  Heures complémentaires et supplémentaires et </t>
        </r>
        <r>
          <rPr>
            <b/>
            <u/>
            <sz val="9"/>
            <color indexed="10"/>
            <rFont val="Tahoma"/>
            <family val="2"/>
          </rPr>
          <t xml:space="preserve">verse en plus du salaire de base </t>
        </r>
        <r>
          <rPr>
            <sz val="9"/>
            <color indexed="81"/>
            <rFont val="Tahoma"/>
            <family val="2"/>
          </rPr>
          <t>pour prendre en compte l exnération des cotisations et la défiscalisation sur le bulletin de salaire</t>
        </r>
        <r>
          <rPr>
            <b/>
            <sz val="9"/>
            <color indexed="81"/>
            <rFont val="Tahoma"/>
            <family val="2"/>
          </rPr>
          <t xml:space="preserve">
</t>
        </r>
        <r>
          <rPr>
            <b/>
            <sz val="9"/>
            <color indexed="17"/>
            <rFont val="Tahoma"/>
            <family val="2"/>
          </rPr>
          <t xml:space="preserve">Mensualisation </t>
        </r>
        <r>
          <rPr>
            <b/>
            <u/>
            <sz val="9"/>
            <color indexed="17"/>
            <rFont val="Tahoma"/>
            <family val="2"/>
          </rPr>
          <t>Congés payés Non Inclus</t>
        </r>
        <r>
          <rPr>
            <b/>
            <sz val="9"/>
            <color indexed="17"/>
            <rFont val="Tahoma"/>
            <family val="2"/>
          </rPr>
          <t>:</t>
        </r>
        <r>
          <rPr>
            <b/>
            <sz val="9"/>
            <color indexed="81"/>
            <rFont val="Tahoma"/>
            <family val="2"/>
          </rPr>
          <t xml:space="preserve">
</t>
        </r>
        <r>
          <rPr>
            <b/>
            <u/>
            <sz val="9"/>
            <color indexed="10"/>
            <rFont val="Tahoma"/>
            <family val="2"/>
          </rPr>
          <t xml:space="preserve">Indiquer séparément </t>
        </r>
        <r>
          <rPr>
            <sz val="9"/>
            <color indexed="81"/>
            <rFont val="Tahoma"/>
            <family val="2"/>
          </rPr>
          <t>les salaires correspondant aux  Heures complémentaires et supplémentaires pour prendre en compte l exnération des cotisations et la défiscalisation sur le bulletin de salaire</t>
        </r>
      </text>
    </comment>
    <comment ref="L52" authorId="1" shapeId="0" xr:uid="{A786F53A-1F67-4280-9065-ACEE8FEE32B5}">
      <text>
        <r>
          <rPr>
            <b/>
            <sz val="9"/>
            <color indexed="53"/>
            <rFont val="Tahoma"/>
            <family val="2"/>
          </rPr>
          <t xml:space="preserve">Mensualisation </t>
        </r>
        <r>
          <rPr>
            <b/>
            <u/>
            <sz val="9"/>
            <color indexed="53"/>
            <rFont val="Tahoma"/>
            <family val="2"/>
          </rPr>
          <t xml:space="preserve">Congés Payés Inclus </t>
        </r>
        <r>
          <rPr>
            <b/>
            <sz val="9"/>
            <color indexed="57"/>
            <rFont val="Tahoma"/>
            <family val="2"/>
          </rPr>
          <t xml:space="preserve">: 
</t>
        </r>
        <r>
          <rPr>
            <sz val="9"/>
            <color indexed="81"/>
            <rFont val="Tahoma"/>
            <family val="2"/>
          </rPr>
          <t xml:space="preserve">Montant mensuel correspondant aux  11% de CP  sur les Heures complémentaires et supplémentaires </t>
        </r>
        <r>
          <rPr>
            <b/>
            <sz val="9"/>
            <color indexed="53"/>
            <rFont val="Tahoma"/>
            <family val="2"/>
          </rPr>
          <t>à verser en plus du salaire mensualisé de base</t>
        </r>
        <r>
          <rPr>
            <b/>
            <sz val="9"/>
            <color indexed="57"/>
            <rFont val="Tahoma"/>
            <family val="2"/>
          </rPr>
          <t xml:space="preserve">
Mensualisation </t>
        </r>
        <r>
          <rPr>
            <b/>
            <u/>
            <sz val="9"/>
            <color indexed="57"/>
            <rFont val="Tahoma"/>
            <family val="2"/>
          </rPr>
          <t>Congés payés Non Inclus:</t>
        </r>
        <r>
          <rPr>
            <b/>
            <sz val="9"/>
            <color indexed="57"/>
            <rFont val="Tahoma"/>
            <family val="2"/>
          </rPr>
          <t xml:space="preserve">
</t>
        </r>
        <r>
          <rPr>
            <sz val="9"/>
            <color indexed="81"/>
            <rFont val="Tahoma"/>
            <family val="2"/>
          </rPr>
          <t>Montant mensuel</t>
        </r>
        <r>
          <rPr>
            <b/>
            <sz val="9"/>
            <color indexed="57"/>
            <rFont val="Tahoma"/>
            <family val="2"/>
          </rPr>
          <t xml:space="preserve"> </t>
        </r>
        <r>
          <rPr>
            <b/>
            <sz val="9"/>
            <color indexed="10"/>
            <rFont val="Tahoma"/>
            <family val="2"/>
          </rPr>
          <t>à verser en plus du salaire</t>
        </r>
        <r>
          <rPr>
            <sz val="9"/>
            <color indexed="81"/>
            <rFont val="Tahoma"/>
            <family val="2"/>
          </rPr>
          <t xml:space="preserve"> correspondant aux 11% de CP  Heures complémentaires et supplémentaires</t>
        </r>
        <r>
          <rPr>
            <b/>
            <sz val="9"/>
            <color indexed="57"/>
            <rFont val="Tahoma"/>
            <family val="2"/>
          </rPr>
          <t xml:space="preserve">
</t>
        </r>
      </text>
    </comment>
    <comment ref="M52" authorId="0" shapeId="0" xr:uid="{CEDFAB7A-50AD-4569-821C-FE4F997CC3C5}">
      <text>
        <r>
          <rPr>
            <b/>
            <sz val="9"/>
            <color indexed="52"/>
            <rFont val="Tahoma"/>
            <family val="2"/>
          </rPr>
          <t xml:space="preserve">Mensualisation </t>
        </r>
        <r>
          <rPr>
            <b/>
            <u/>
            <sz val="9"/>
            <color indexed="52"/>
            <rFont val="Tahoma"/>
            <family val="2"/>
          </rPr>
          <t>Congés Payés Inclus</t>
        </r>
        <r>
          <rPr>
            <b/>
            <sz val="9"/>
            <color indexed="52"/>
            <rFont val="Tahoma"/>
            <family val="2"/>
          </rPr>
          <t xml:space="preserve"> </t>
        </r>
        <r>
          <rPr>
            <b/>
            <sz val="9"/>
            <color indexed="51"/>
            <rFont val="Tahoma"/>
            <family val="2"/>
          </rPr>
          <t xml:space="preserve">: </t>
        </r>
        <r>
          <rPr>
            <sz val="9"/>
            <color indexed="81"/>
            <rFont val="Tahoma"/>
            <family val="2"/>
          </rPr>
          <t>11% CP Heures complémentaires et supplémentaires</t>
        </r>
        <r>
          <rPr>
            <b/>
            <sz val="9"/>
            <color indexed="81"/>
            <rFont val="Tahoma"/>
            <family val="2"/>
          </rPr>
          <t xml:space="preserve">
</t>
        </r>
        <r>
          <rPr>
            <b/>
            <sz val="9"/>
            <color indexed="57"/>
            <rFont val="Tahoma"/>
            <family val="2"/>
          </rPr>
          <t xml:space="preserve">Mensualisation </t>
        </r>
        <r>
          <rPr>
            <b/>
            <u/>
            <sz val="9"/>
            <color indexed="57"/>
            <rFont val="Tahoma"/>
            <family val="2"/>
          </rPr>
          <t>Congés payés Non Inclus</t>
        </r>
        <r>
          <rPr>
            <b/>
            <sz val="9"/>
            <color indexed="57"/>
            <rFont val="Tahoma"/>
            <family val="2"/>
          </rPr>
          <t>:</t>
        </r>
        <r>
          <rPr>
            <sz val="9"/>
            <color indexed="8"/>
            <rFont val="Tahoma"/>
            <family val="2"/>
          </rPr>
          <t xml:space="preserve">
Autre Formule de calcul intégrant mensuellement les 10% de CP dus sur le salaire de base et sur les H Compl et suppl et  </t>
        </r>
        <r>
          <rPr>
            <b/>
            <sz val="9"/>
            <color indexed="10"/>
            <rFont val="Tahoma"/>
            <family val="2"/>
          </rPr>
          <t>en fin d'année de référence seulement</t>
        </r>
        <r>
          <rPr>
            <sz val="9"/>
            <color indexed="8"/>
            <rFont val="Tahoma"/>
            <family val="2"/>
          </rPr>
          <t xml:space="preserve"> les 10% dus sur les  CP ( = montant équivalent cellule J 41)</t>
        </r>
      </text>
    </comment>
    <comment ref="O54" authorId="4" shapeId="0" xr:uid="{C5478D3C-73DA-49BA-9E22-5DA31E483A85}">
      <text>
        <r>
          <rPr>
            <sz val="9"/>
            <color indexed="8"/>
            <rFont val="Tahoma"/>
            <family val="2"/>
          </rPr>
          <t xml:space="preserve">Saisir le montant de la </t>
        </r>
        <r>
          <rPr>
            <u/>
            <sz val="9"/>
            <color indexed="8"/>
            <rFont val="Tahoma"/>
            <family val="2"/>
          </rPr>
          <t>mensualisation BRUT de base*</t>
        </r>
        <r>
          <rPr>
            <sz val="9"/>
            <color indexed="8"/>
            <rFont val="Tahoma"/>
            <family val="2"/>
          </rPr>
          <t xml:space="preserve"> en cours au moment de la prise des congés principaux  - Vérifier à la fin de l'année de référence et au moment de la rupture du contrat
*Les régularisations au titre d'heures complémentaires ou supplémentaires ainsi que les absences non rémunérées sont saisies dans la colonne J ou L</t>
        </r>
      </text>
    </comment>
    <comment ref="O56" authorId="0" shapeId="0" xr:uid="{0F5E92FD-16BA-4AC9-A1F3-3471102338B7}">
      <text>
        <r>
          <rPr>
            <sz val="9"/>
            <color indexed="81"/>
            <rFont val="Tahoma"/>
            <family val="2"/>
          </rPr>
          <t xml:space="preserve">Si </t>
        </r>
        <r>
          <rPr>
            <b/>
            <sz val="9"/>
            <color indexed="10"/>
            <rFont val="Tahoma"/>
            <family val="2"/>
          </rPr>
          <t>montant négatif</t>
        </r>
        <r>
          <rPr>
            <b/>
            <sz val="9"/>
            <color indexed="81"/>
            <rFont val="Tahoma"/>
            <family val="2"/>
          </rPr>
          <t xml:space="preserve"> </t>
        </r>
        <r>
          <rPr>
            <sz val="9"/>
            <color indexed="81"/>
            <rFont val="Tahoma"/>
            <family val="2"/>
          </rPr>
          <t xml:space="preserve">
 congés payés </t>
        </r>
        <r>
          <rPr>
            <sz val="9"/>
            <color indexed="10"/>
            <rFont val="Tahoma"/>
            <family val="2"/>
          </rPr>
          <t>non acquis &amp; pris par anticipation</t>
        </r>
        <r>
          <rPr>
            <sz val="9"/>
            <color indexed="81"/>
            <rFont val="Tahoma"/>
            <family val="2"/>
          </rPr>
          <t xml:space="preserve"> au moment de  la rupture du contrat ou en fin d'année référence génèrant le remboursement  du trop perçu à l'employeur </t>
        </r>
      </text>
    </comment>
    <comment ref="O60" authorId="0" shapeId="0" xr:uid="{9E583D5E-EEDA-45DE-91EE-BCEABDCBF6E6}">
      <text>
        <r>
          <rPr>
            <b/>
            <sz val="9"/>
            <color indexed="10"/>
            <rFont val="Tahoma"/>
            <family val="2"/>
          </rPr>
          <t>Régularisation à effectuer</t>
        </r>
        <r>
          <rPr>
            <b/>
            <sz val="9"/>
            <color indexed="81"/>
            <rFont val="Tahoma"/>
            <family val="2"/>
          </rPr>
          <t xml:space="preserve"> </t>
        </r>
        <r>
          <rPr>
            <sz val="9"/>
            <color indexed="81"/>
            <rFont val="Tahoma"/>
            <family val="2"/>
          </rPr>
          <t xml:space="preserve">
Si le montant est négatif rien ne s'inscrit </t>
        </r>
      </text>
    </comment>
    <comment ref="O61" authorId="0" shapeId="0" xr:uid="{DB745BF5-E470-4506-A1A1-D25D036928B2}">
      <text>
        <r>
          <rPr>
            <sz val="9"/>
            <color indexed="81"/>
            <rFont val="Tahoma"/>
            <family val="2"/>
          </rPr>
          <t xml:space="preserve">
</t>
        </r>
        <r>
          <rPr>
            <b/>
            <sz val="9"/>
            <color indexed="81"/>
            <rFont val="Tahoma"/>
            <family val="2"/>
          </rPr>
          <t xml:space="preserve">Méthode du 10ème </t>
        </r>
        <r>
          <rPr>
            <sz val="9"/>
            <color indexed="81"/>
            <rFont val="Tahoma"/>
            <family val="2"/>
          </rPr>
          <t xml:space="preserve">
</t>
        </r>
      </text>
    </comment>
    <comment ref="O62" authorId="0" shapeId="0" xr:uid="{B667D094-7145-485E-A80B-7D432D9418EC}">
      <text>
        <r>
          <rPr>
            <sz val="9"/>
            <color indexed="81"/>
            <rFont val="Tahoma"/>
            <family val="2"/>
          </rPr>
          <t>Si cette période est une</t>
        </r>
        <r>
          <rPr>
            <b/>
            <sz val="9"/>
            <color indexed="81"/>
            <rFont val="Tahoma"/>
            <family val="2"/>
          </rPr>
          <t xml:space="preserve"> fin de contrat -</t>
        </r>
        <r>
          <rPr>
            <b/>
            <sz val="9"/>
            <color indexed="10"/>
            <rFont val="Tahoma"/>
            <family val="2"/>
          </rPr>
          <t xml:space="preserve"> cellule G51 cochée "OUI" - </t>
        </r>
        <r>
          <rPr>
            <sz val="9"/>
            <color indexed="81"/>
            <rFont val="Tahoma"/>
            <family val="2"/>
          </rPr>
          <t xml:space="preserve">la </t>
        </r>
        <r>
          <rPr>
            <b/>
            <sz val="9"/>
            <color indexed="81"/>
            <rFont val="Tahoma"/>
            <family val="2"/>
          </rPr>
          <t>cellule O62</t>
        </r>
        <r>
          <rPr>
            <sz val="9"/>
            <color indexed="81"/>
            <rFont val="Tahoma"/>
            <family val="2"/>
          </rPr>
          <t xml:space="preserve"> doit être </t>
        </r>
        <r>
          <rPr>
            <b/>
            <sz val="9"/>
            <color indexed="81"/>
            <rFont val="Tahoma"/>
            <family val="2"/>
          </rPr>
          <t>cochée "NON"</t>
        </r>
      </text>
    </comment>
    <comment ref="N66" authorId="0" shapeId="0" xr:uid="{351E3FD4-402F-421D-B69E-615917C067B8}">
      <text>
        <r>
          <rPr>
            <sz val="9"/>
            <color indexed="81"/>
            <rFont val="Tahoma"/>
            <family val="2"/>
          </rPr>
          <t xml:space="preserve">Les congés payés </t>
        </r>
        <r>
          <rPr>
            <sz val="9"/>
            <color indexed="10"/>
            <rFont val="Tahoma"/>
            <family val="2"/>
          </rPr>
          <t xml:space="preserve">acquis &amp; </t>
        </r>
        <r>
          <rPr>
            <b/>
            <sz val="9"/>
            <color indexed="10"/>
            <rFont val="Tahoma"/>
            <family val="2"/>
          </rPr>
          <t>non pris</t>
        </r>
        <r>
          <rPr>
            <sz val="9"/>
            <color indexed="81"/>
            <rFont val="Tahoma"/>
            <family val="2"/>
          </rPr>
          <t xml:space="preserve"> au moment de  la rupture du contrat ou non reportés en fin d'année référence génèrent le versement  d' une indemnité compensatrice au salarié.
A contrario les congés payés</t>
        </r>
        <r>
          <rPr>
            <sz val="9"/>
            <color indexed="10"/>
            <rFont val="Tahoma"/>
            <family val="2"/>
          </rPr>
          <t xml:space="preserve"> non acquis &amp; pris par anticipation</t>
        </r>
        <r>
          <rPr>
            <sz val="9"/>
            <color indexed="81"/>
            <rFont val="Tahoma"/>
            <family val="2"/>
          </rPr>
          <t xml:space="preserve"> au moment de  la rupture du contrat ou non déduits de l'année référence suivante génèrent le remboursement  du trop perçu à l'employeur (Cf cellule O56 si négatif).Cependant la régularisation au titre de la méthode la plus favorable reste due.</t>
        </r>
        <r>
          <rPr>
            <sz val="11"/>
            <color indexed="81"/>
            <rFont val="Tahoma"/>
            <family val="2"/>
          </rPr>
          <t xml:space="preserve">
</t>
        </r>
      </text>
    </comment>
    <comment ref="O66" authorId="0" shapeId="0" xr:uid="{9A401417-B132-4E48-BF18-0DE11BABFB4E}">
      <text>
        <r>
          <rPr>
            <sz val="9"/>
            <color indexed="81"/>
            <rFont val="Tahoma"/>
            <family val="2"/>
          </rPr>
          <t xml:space="preserve">Soit :
- </t>
        </r>
        <r>
          <rPr>
            <b/>
            <sz val="9"/>
            <color indexed="81"/>
            <rFont val="Tahoma"/>
            <family val="2"/>
          </rPr>
          <t>Si la cellule O60 est inactive :</t>
        </r>
        <r>
          <rPr>
            <sz val="9"/>
            <color indexed="81"/>
            <rFont val="Tahoma"/>
            <family val="2"/>
          </rPr>
          <t xml:space="preserve">
La somme est égale à la cellule O56 </t>
        </r>
        <r>
          <rPr>
            <sz val="9"/>
            <color indexed="10"/>
            <rFont val="Tahoma"/>
            <family val="2"/>
          </rPr>
          <t>en absence de report des congés</t>
        </r>
        <r>
          <rPr>
            <sz val="9"/>
            <color indexed="81"/>
            <rFont val="Tahoma"/>
            <family val="2"/>
          </rPr>
          <t xml:space="preserve">
La somme nulle </t>
        </r>
        <r>
          <rPr>
            <sz val="9"/>
            <color indexed="10"/>
            <rFont val="Tahoma"/>
            <family val="2"/>
          </rPr>
          <t>si report des congés</t>
        </r>
        <r>
          <rPr>
            <sz val="9"/>
            <color indexed="81"/>
            <rFont val="Tahoma"/>
            <family val="2"/>
          </rPr>
          <t xml:space="preserve">
</t>
        </r>
        <r>
          <rPr>
            <b/>
            <sz val="9"/>
            <color indexed="81"/>
            <rFont val="Tahoma"/>
            <family val="2"/>
          </rPr>
          <t>- Si la cellule O60 est active :</t>
        </r>
        <r>
          <rPr>
            <sz val="9"/>
            <color indexed="81"/>
            <rFont val="Tahoma"/>
            <family val="2"/>
          </rPr>
          <t xml:space="preserve"> 
</t>
        </r>
        <r>
          <rPr>
            <b/>
            <sz val="9"/>
            <color indexed="10"/>
            <rFont val="Tahoma"/>
            <family val="2"/>
          </rPr>
          <t xml:space="preserve">Et </t>
        </r>
        <r>
          <rPr>
            <sz val="9"/>
            <color indexed="10"/>
            <rFont val="Tahoma"/>
            <family val="2"/>
          </rPr>
          <t>en absence de report des congés ,</t>
        </r>
        <r>
          <rPr>
            <sz val="9"/>
            <color indexed="81"/>
            <rFont val="Tahoma"/>
            <family val="2"/>
          </rPr>
          <t xml:space="preserve"> La somme est égale à la cellule O56 +O60 (soit la différence de la cellule O57 moins J69/70 au titre de régularisation du plus favorable et les CP acquis et non pris)
</t>
        </r>
        <r>
          <rPr>
            <sz val="9"/>
            <color indexed="10"/>
            <rFont val="Tahoma"/>
            <family val="2"/>
          </rPr>
          <t xml:space="preserve">Avec de report des congés </t>
        </r>
        <r>
          <rPr>
            <sz val="9"/>
            <color indexed="81"/>
            <rFont val="Tahoma"/>
            <family val="2"/>
          </rPr>
          <t xml:space="preserve">, la somme est égale à la cellule O60 au titre de régularisation du plus favorable 
</t>
        </r>
        <r>
          <rPr>
            <sz val="10"/>
            <color indexed="81"/>
            <rFont val="Tahoma"/>
            <family val="2"/>
          </rPr>
          <t xml:space="preserve">
</t>
        </r>
      </text>
    </comment>
    <comment ref="A68" authorId="0" shapeId="0" xr:uid="{D2B26E4A-DA91-48F6-9B58-BDC5547D9549}">
      <text>
        <r>
          <rPr>
            <sz val="11"/>
            <color indexed="81"/>
            <rFont val="Tahoma"/>
            <family val="2"/>
          </rPr>
          <t>* Déduction des CP en cas d’arrêt de travail pour maladie non professionnelle au-delà de  38,4 semaines/année de référence
et Déduction des CP EXCLUSIVEMENT en cas de début ou fin de contrat en cours de mois
NOTA : VOIR ONGLET "Explication déduction CP"</t>
        </r>
      </text>
    </comment>
    <comment ref="E68" authorId="0" shapeId="0" xr:uid="{3F506BFA-59A2-4D5F-A6E5-441F60E6F477}">
      <text>
        <r>
          <rPr>
            <sz val="11"/>
            <color indexed="81"/>
            <rFont val="Tahoma"/>
            <family val="2"/>
          </rPr>
          <t>NOTA : La saisie se fait dans l'onglet Explication déduction CP
Le contrat ANAMAAF est en conformité avec l’article 7 de la directive européenne CE 2003/88/CE du 04 novembre 2003, et la décision de la Cour de Justice Européenne  dans son arrêt du 24 Janvier 2012, - tout salarié absent en raison d’une maladie professionnelle ou non (ou en chômage partiel) a droit à un congé annuel payé d’au moins  4 semaines - c’est l’année de référence qui fixe le début et la fin – exemple un arrêt continu de 43 semaines réparti sur 2 années de référence   ne génère pas de déduction de jours de congés payés acquis
Il gère aussi la déduction de CP en cas de début ou fin de contrat en cours de mois : Suivre les indications de l'onglet Explication déduction CP à partir de la ligne 34</t>
        </r>
      </text>
    </comment>
    <comment ref="E69" authorId="1" shapeId="0" xr:uid="{66CD85CB-B941-47A3-8646-B6AD594DDAD8}">
      <text>
        <r>
          <rPr>
            <sz val="9"/>
            <color indexed="81"/>
            <rFont val="Tahoma"/>
            <family val="2"/>
          </rPr>
          <t xml:space="preserve">Les </t>
        </r>
        <r>
          <rPr>
            <b/>
            <sz val="9"/>
            <color indexed="81"/>
            <rFont val="Tahoma"/>
            <family val="2"/>
          </rPr>
          <t>congés payés</t>
        </r>
        <r>
          <rPr>
            <sz val="9"/>
            <color indexed="81"/>
            <rFont val="Tahoma"/>
            <family val="2"/>
          </rPr>
          <t xml:space="preserve"> se  prennent en </t>
        </r>
        <r>
          <rPr>
            <b/>
            <sz val="9"/>
            <color indexed="81"/>
            <rFont val="Tahoma"/>
            <family val="2"/>
          </rPr>
          <t>jour entier</t>
        </r>
        <r>
          <rPr>
            <sz val="9"/>
            <color indexed="81"/>
            <rFont val="Tahoma"/>
            <family val="2"/>
          </rPr>
          <t xml:space="preserve"> et sont </t>
        </r>
        <r>
          <rPr>
            <b/>
            <sz val="9"/>
            <color indexed="81"/>
            <rFont val="Tahoma"/>
            <family val="2"/>
          </rPr>
          <t>non fractionnables.</t>
        </r>
        <r>
          <rPr>
            <sz val="9"/>
            <color indexed="81"/>
            <rFont val="Tahoma"/>
            <family val="2"/>
          </rPr>
          <t xml:space="preserve">
</t>
        </r>
      </text>
    </comment>
    <comment ref="J69" authorId="1" shapeId="0" xr:uid="{446883E7-F744-4EA0-BA3B-B2AF55FBE904}">
      <text>
        <r>
          <rPr>
            <b/>
            <sz val="9"/>
            <color indexed="51"/>
            <rFont val="Tahoma"/>
            <family val="2"/>
          </rPr>
          <t>Mensualisation Congés payés inclus</t>
        </r>
        <r>
          <rPr>
            <sz val="9"/>
            <color indexed="81"/>
            <rFont val="Tahoma"/>
            <family val="2"/>
          </rPr>
          <t xml:space="preserve">
Total des congés payés mensualisés et de ceux perçus ou à percevoir sur les heures complémentaires et supplémentaires</t>
        </r>
      </text>
    </comment>
    <comment ref="E71" authorId="1" shapeId="0" xr:uid="{FAA52577-5734-44FA-9AB4-157C5B7A6172}">
      <text>
        <r>
          <rPr>
            <sz val="9"/>
            <color indexed="81"/>
            <rFont val="Tahoma"/>
            <family val="2"/>
          </rPr>
          <t xml:space="preserve">Jours de congés payés supplémenatires acquis si  maximum 24 jours ouvrables de congés pris* sont fractionnées en plusieurs fois (minimum obligatoire -si acquis -  12 jours ouvrables  consécutifs entre le 1er mai et le 31 octobre) :
- 2 jours de congés supplémentaires si 6 jours de congés sont pris séparément entre le 1er Novembre et le 30 Avril.
- 1 jour de congé supplémentaire si 3 à 5 jours de congés sont pris séparément entre le 1er Novembre et le 30 Avril..
* la 5ème semaine de congés payés n'entre pas dans le calcul du droit au jour de farctionnement .
</t>
        </r>
        <r>
          <rPr>
            <sz val="9"/>
            <color indexed="10"/>
            <rFont val="Tahoma"/>
            <family val="2"/>
          </rPr>
          <t xml:space="preserve">Ces jours de fractionnement </t>
        </r>
        <r>
          <rPr>
            <b/>
            <sz val="9"/>
            <color indexed="10"/>
            <rFont val="Tahoma"/>
            <family val="2"/>
          </rPr>
          <t>se cumulent en plus</t>
        </r>
        <r>
          <rPr>
            <sz val="9"/>
            <color indexed="10"/>
            <rFont val="Tahoma"/>
            <family val="2"/>
          </rPr>
          <t xml:space="preserve"> du nombre de jours ce congés payés acquis. </t>
        </r>
      </text>
    </comment>
    <comment ref="E72" authorId="0" shapeId="0" xr:uid="{A953149A-ED27-49C2-8D5E-5A15D8D5AAE0}">
      <text>
        <r>
          <rPr>
            <sz val="9"/>
            <color indexed="81"/>
            <rFont val="Tahoma"/>
            <family val="2"/>
          </rPr>
          <t xml:space="preserve">Total jours ouvrables acquis : Congés légaux - avec report cas échéant et jours de fractionnement </t>
        </r>
      </text>
    </comment>
    <comment ref="L75" authorId="2" shapeId="0" xr:uid="{73234C30-768C-4945-A0F7-4FD48EAEA69E}">
      <text>
        <r>
          <rPr>
            <sz val="9"/>
            <color indexed="81"/>
            <rFont val="Tahoma"/>
            <family val="2"/>
          </rPr>
          <t xml:space="preserve">Date de fin d'année de référence des congés payés fixée au contrat de travail
</t>
        </r>
        <r>
          <rPr>
            <b/>
            <sz val="9"/>
            <color indexed="81"/>
            <rFont val="Tahoma"/>
            <family val="2"/>
          </rPr>
          <t xml:space="preserve">ou </t>
        </r>
        <r>
          <rPr>
            <sz val="9"/>
            <color indexed="81"/>
            <rFont val="Tahoma"/>
            <family val="2"/>
          </rPr>
          <t>le cas échéant de rupture du contrat.
Format 00/00/0000</t>
        </r>
      </text>
    </comment>
    <comment ref="A81" authorId="0" shapeId="0" xr:uid="{852C6AFC-5147-4B3A-9DD8-BC7558798D40}">
      <text>
        <r>
          <rPr>
            <b/>
            <sz val="9"/>
            <color indexed="81"/>
            <rFont val="Tahoma"/>
            <family val="2"/>
          </rPr>
          <t xml:space="preserve">Soit 2,5 jours ouvrables*/mois </t>
        </r>
        <r>
          <rPr>
            <b/>
            <u/>
            <sz val="9"/>
            <color indexed="53"/>
            <rFont val="Tahoma"/>
            <family val="2"/>
          </rPr>
          <t>quelque soit la durée effective de travail au cours du mois.</t>
        </r>
        <r>
          <rPr>
            <b/>
            <sz val="9"/>
            <color indexed="81"/>
            <rFont val="Tahoma"/>
            <family val="2"/>
          </rPr>
          <t xml:space="preserve">
</t>
        </r>
        <r>
          <rPr>
            <sz val="10"/>
            <color indexed="81"/>
            <rFont val="Tahoma"/>
            <family val="2"/>
          </rPr>
          <t>En cas de début ou de fin de contrat au cours  du mois, il convient de vérifier le nombre de périodes de 4 semaines entre le début et la fin de l'année de référence : 2,5 jours ouvrables/période de  4 semaines.</t>
        </r>
        <r>
          <rPr>
            <b/>
            <sz val="9"/>
            <color indexed="81"/>
            <rFont val="Tahoma"/>
            <family val="2"/>
          </rPr>
          <t xml:space="preserve">
12 mois ou 12 périodes de 4 semaines = 30 jours ouvrables de congés payés acquis auxquels se rajoutent le  cas échéant les jours de fractionnement.
</t>
        </r>
        <r>
          <rPr>
            <sz val="10"/>
            <color indexed="81"/>
            <rFont val="Tahoma"/>
            <family val="2"/>
          </rPr>
          <t xml:space="preserve">Le contrat de travail ANAMAAF prévoit - selon la directive européenne - l'acquisition des congés payés en arrêt maladie non professionnelle. 
Les congés payés (2,5 jours ouvrables/mois) restent acquis durant le congé maternité - l'arrêt pour accident du travail et maladie professionnelle ainsi que durant la période de prise des congés payés.
Les semaines d'absence - non travaillées - de congés sans solde prises en compte dans le calcul de la mensualistion pour une modulation annuelle du salaire (temps partiel) , n' interfèrent nullement dans l'acquisition des droits au Congé payé acquis: un salarié à temps partiel - quelque soit la durée effective - acquiert autant de jours de congés payés </t>
        </r>
        <r>
          <rPr>
            <b/>
            <sz val="9"/>
            <color indexed="81"/>
            <rFont val="Tahoma"/>
            <family val="2"/>
          </rPr>
          <t>en durée</t>
        </r>
        <r>
          <rPr>
            <sz val="9"/>
            <color indexed="81"/>
            <rFont val="Tahoma"/>
            <family val="2"/>
          </rPr>
          <t xml:space="preserve"> </t>
        </r>
        <r>
          <rPr>
            <sz val="10"/>
            <color indexed="81"/>
            <rFont val="Tahoma"/>
            <family val="2"/>
          </rPr>
          <t>qu'un salarié à temps plein. Seul le montant de la rémunération  de ces congés payés  est proportionnel au salaire versé pour le temps de travail prévu par le contrat.</t>
        </r>
        <r>
          <rPr>
            <b/>
            <sz val="9"/>
            <color indexed="81"/>
            <rFont val="Tahoma"/>
            <family val="2"/>
          </rPr>
          <t xml:space="preserve">
* Jours ouvrables = tous les jours de la semaine à l'exception du Dimanche et des jours fériés</t>
        </r>
      </text>
    </comment>
    <comment ref="I81" authorId="0" shapeId="0" xr:uid="{8565DB70-8C1B-4C06-89B6-A9790263BB02}">
      <text>
        <r>
          <rPr>
            <b/>
            <sz val="9"/>
            <color indexed="57"/>
            <rFont val="Tahoma"/>
            <family val="2"/>
          </rPr>
          <t xml:space="preserve">Mensualisation </t>
        </r>
        <r>
          <rPr>
            <b/>
            <u/>
            <sz val="9"/>
            <color indexed="57"/>
            <rFont val="Tahoma"/>
            <family val="2"/>
          </rPr>
          <t>Congés payés Non Inclus</t>
        </r>
        <r>
          <rPr>
            <b/>
            <sz val="9"/>
            <color indexed="57"/>
            <rFont val="Tahoma"/>
            <family val="2"/>
          </rPr>
          <t>:</t>
        </r>
        <r>
          <rPr>
            <b/>
            <sz val="9"/>
            <color indexed="81"/>
            <rFont val="Tahoma"/>
            <family val="2"/>
          </rPr>
          <t xml:space="preserve">
</t>
        </r>
        <r>
          <rPr>
            <sz val="9"/>
            <color indexed="8"/>
            <rFont val="Tahoma"/>
            <family val="2"/>
          </rPr>
          <t>Indiquer le salaire mensualisé -</t>
        </r>
        <r>
          <rPr>
            <b/>
            <sz val="9"/>
            <color indexed="10"/>
            <rFont val="Tahoma"/>
            <family val="2"/>
          </rPr>
          <t xml:space="preserve"> Sans les heures compl ou suppl </t>
        </r>
        <r>
          <rPr>
            <sz val="9"/>
            <color indexed="8"/>
            <rFont val="Tahoma"/>
            <family val="2"/>
          </rPr>
          <t xml:space="preserve">- minoré le cas échéant en cas d'absence 
</t>
        </r>
        <r>
          <rPr>
            <b/>
            <sz val="9"/>
            <color indexed="8"/>
            <rFont val="Tahoma"/>
            <family val="2"/>
          </rPr>
          <t xml:space="preserve">
</t>
        </r>
        <r>
          <rPr>
            <b/>
            <sz val="9"/>
            <color indexed="52"/>
            <rFont val="Tahoma"/>
            <family val="2"/>
          </rPr>
          <t xml:space="preserve">Mensualisation </t>
        </r>
        <r>
          <rPr>
            <b/>
            <u/>
            <sz val="9"/>
            <color indexed="52"/>
            <rFont val="Tahoma"/>
            <family val="2"/>
          </rPr>
          <t xml:space="preserve">Congés Payés Inclus </t>
        </r>
        <r>
          <rPr>
            <b/>
            <sz val="9"/>
            <color indexed="52"/>
            <rFont val="Tahoma"/>
            <family val="2"/>
          </rPr>
          <t>:</t>
        </r>
        <r>
          <rPr>
            <b/>
            <sz val="9"/>
            <color indexed="8"/>
            <rFont val="Tahoma"/>
            <family val="2"/>
          </rPr>
          <t xml:space="preserve">
</t>
        </r>
        <r>
          <rPr>
            <sz val="9"/>
            <color indexed="8"/>
            <rFont val="Tahoma"/>
            <family val="2"/>
          </rPr>
          <t>Indiquer le salaire mensualisé -</t>
        </r>
        <r>
          <rPr>
            <b/>
            <sz val="9"/>
            <color indexed="10"/>
            <rFont val="Tahoma"/>
            <family val="2"/>
          </rPr>
          <t xml:space="preserve"> Sans les heures compl ou supp</t>
        </r>
        <r>
          <rPr>
            <sz val="9"/>
            <color indexed="8"/>
            <rFont val="Tahoma"/>
            <family val="2"/>
          </rPr>
          <t xml:space="preserve"> - lminoré le cas échéant en cas d'absence</t>
        </r>
      </text>
    </comment>
    <comment ref="J81" authorId="1" shapeId="0" xr:uid="{5C25DC74-B067-45BD-A28F-02E8FCE9A087}">
      <text>
        <r>
          <rPr>
            <b/>
            <sz val="9"/>
            <color indexed="52"/>
            <rFont val="Tahoma"/>
            <family val="2"/>
          </rPr>
          <t xml:space="preserve">Mensualisation </t>
        </r>
        <r>
          <rPr>
            <b/>
            <u/>
            <sz val="9"/>
            <color indexed="52"/>
            <rFont val="Tahoma"/>
            <family val="2"/>
          </rPr>
          <t>Congés Payés Inclus</t>
        </r>
        <r>
          <rPr>
            <sz val="9"/>
            <color indexed="81"/>
            <rFont val="Tahoma"/>
            <family val="2"/>
          </rPr>
          <t xml:space="preserve"> : Montant mensuel correspondant aux  CP </t>
        </r>
        <r>
          <rPr>
            <b/>
            <u/>
            <sz val="9"/>
            <color indexed="81"/>
            <rFont val="Tahoma"/>
            <family val="2"/>
          </rPr>
          <t>inclus dans le salaire</t>
        </r>
        <r>
          <rPr>
            <sz val="9"/>
            <color indexed="81"/>
            <rFont val="Tahoma"/>
            <family val="2"/>
          </rPr>
          <t xml:space="preserve">  </t>
        </r>
        <r>
          <rPr>
            <b/>
            <u/>
            <sz val="9"/>
            <color indexed="10"/>
            <rFont val="Tahoma"/>
            <family val="2"/>
          </rPr>
          <t>HORMIS CP</t>
        </r>
        <r>
          <rPr>
            <sz val="9"/>
            <color indexed="10"/>
            <rFont val="Tahoma"/>
            <family val="2"/>
          </rPr>
          <t xml:space="preserve"> Heures complémentaires et supplémentaires</t>
        </r>
        <r>
          <rPr>
            <sz val="9"/>
            <color indexed="81"/>
            <rFont val="Tahoma"/>
            <family val="2"/>
          </rPr>
          <t xml:space="preserve">
</t>
        </r>
        <r>
          <rPr>
            <b/>
            <sz val="9"/>
            <color indexed="57"/>
            <rFont val="Tahoma"/>
            <family val="2"/>
          </rPr>
          <t xml:space="preserve">Mensualisation </t>
        </r>
        <r>
          <rPr>
            <b/>
            <u/>
            <sz val="9"/>
            <color indexed="57"/>
            <rFont val="Tahoma"/>
            <family val="2"/>
          </rPr>
          <t>Congés payés Non Inclus</t>
        </r>
        <r>
          <rPr>
            <sz val="9"/>
            <color indexed="81"/>
            <rFont val="Tahoma"/>
            <family val="2"/>
          </rPr>
          <t>:
Montant mensuel à</t>
        </r>
        <r>
          <rPr>
            <b/>
            <u/>
            <sz val="9"/>
            <color indexed="81"/>
            <rFont val="Tahoma"/>
            <family val="2"/>
          </rPr>
          <t xml:space="preserve"> verser en plus du salaire</t>
        </r>
        <r>
          <rPr>
            <sz val="9"/>
            <color indexed="81"/>
            <rFont val="Tahoma"/>
            <family val="2"/>
          </rPr>
          <t xml:space="preserve"> correspondant aux </t>
        </r>
        <r>
          <rPr>
            <b/>
            <sz val="9"/>
            <color indexed="81"/>
            <rFont val="Tahoma"/>
            <family val="2"/>
          </rPr>
          <t>11%</t>
        </r>
        <r>
          <rPr>
            <sz val="9"/>
            <color indexed="81"/>
            <rFont val="Tahoma"/>
            <family val="2"/>
          </rPr>
          <t xml:space="preserve"> de CP </t>
        </r>
        <r>
          <rPr>
            <b/>
            <u/>
            <sz val="9"/>
            <color indexed="81"/>
            <rFont val="Tahoma"/>
            <family val="2"/>
          </rPr>
          <t xml:space="preserve">sur le salaire mensuel de base càd   </t>
        </r>
        <r>
          <rPr>
            <b/>
            <u/>
            <sz val="9"/>
            <color indexed="10"/>
            <rFont val="Tahoma"/>
            <family val="2"/>
          </rPr>
          <t>HORMIS CP</t>
        </r>
        <r>
          <rPr>
            <b/>
            <u/>
            <sz val="9"/>
            <color indexed="81"/>
            <rFont val="Tahoma"/>
            <family val="2"/>
          </rPr>
          <t xml:space="preserve"> Heures complémentaires et supplémentaires</t>
        </r>
      </text>
    </comment>
    <comment ref="K81" authorId="3" shapeId="0" xr:uid="{8CEA88BB-13F4-429D-801F-9C3390EA2548}">
      <text>
        <r>
          <rPr>
            <b/>
            <sz val="9"/>
            <color indexed="53"/>
            <rFont val="Tahoma"/>
            <family val="2"/>
          </rPr>
          <t xml:space="preserve">Mensualisation </t>
        </r>
        <r>
          <rPr>
            <b/>
            <u/>
            <sz val="9"/>
            <color indexed="53"/>
            <rFont val="Tahoma"/>
            <family val="2"/>
          </rPr>
          <t>Congés Payés Inclus</t>
        </r>
        <r>
          <rPr>
            <b/>
            <sz val="9"/>
            <color indexed="81"/>
            <rFont val="Tahoma"/>
            <family val="2"/>
          </rPr>
          <t xml:space="preserve"> : 
</t>
        </r>
        <r>
          <rPr>
            <b/>
            <u/>
            <sz val="9"/>
            <color indexed="10"/>
            <rFont val="Tahoma"/>
            <family val="2"/>
          </rPr>
          <t>Indiquer séparément</t>
        </r>
        <r>
          <rPr>
            <sz val="9"/>
            <color indexed="81"/>
            <rFont val="Tahoma"/>
            <family val="2"/>
          </rPr>
          <t xml:space="preserve"> les salaires correspondant aux  Heures complémentaires et supplémentaires et </t>
        </r>
        <r>
          <rPr>
            <b/>
            <u/>
            <sz val="9"/>
            <color indexed="10"/>
            <rFont val="Tahoma"/>
            <family val="2"/>
          </rPr>
          <t xml:space="preserve">verse en plus du salaire de base </t>
        </r>
        <r>
          <rPr>
            <sz val="9"/>
            <color indexed="81"/>
            <rFont val="Tahoma"/>
            <family val="2"/>
          </rPr>
          <t>pour prendre en compte l exnération des cotisations et la défiscalisation sur le bulletin de salaire</t>
        </r>
        <r>
          <rPr>
            <b/>
            <sz val="9"/>
            <color indexed="81"/>
            <rFont val="Tahoma"/>
            <family val="2"/>
          </rPr>
          <t xml:space="preserve">
</t>
        </r>
        <r>
          <rPr>
            <b/>
            <sz val="9"/>
            <color indexed="17"/>
            <rFont val="Tahoma"/>
            <family val="2"/>
          </rPr>
          <t xml:space="preserve">Mensualisation </t>
        </r>
        <r>
          <rPr>
            <b/>
            <u/>
            <sz val="9"/>
            <color indexed="17"/>
            <rFont val="Tahoma"/>
            <family val="2"/>
          </rPr>
          <t>Congés payés Non Inclus</t>
        </r>
        <r>
          <rPr>
            <b/>
            <sz val="9"/>
            <color indexed="17"/>
            <rFont val="Tahoma"/>
            <family val="2"/>
          </rPr>
          <t>:</t>
        </r>
        <r>
          <rPr>
            <b/>
            <sz val="9"/>
            <color indexed="81"/>
            <rFont val="Tahoma"/>
            <family val="2"/>
          </rPr>
          <t xml:space="preserve">
</t>
        </r>
        <r>
          <rPr>
            <b/>
            <u/>
            <sz val="9"/>
            <color indexed="10"/>
            <rFont val="Tahoma"/>
            <family val="2"/>
          </rPr>
          <t xml:space="preserve">Indiquer séparément </t>
        </r>
        <r>
          <rPr>
            <sz val="9"/>
            <color indexed="81"/>
            <rFont val="Tahoma"/>
            <family val="2"/>
          </rPr>
          <t>les salaires correspondant aux  Heures complémentaires et supplémentaires pour prendre en compte l exnération des cotisations et la défiscalisation sur le bulletin de salaire</t>
        </r>
      </text>
    </comment>
    <comment ref="L81" authorId="1" shapeId="0" xr:uid="{9DEEDD82-4F62-4CA5-B35D-FFE6F1F5C15E}">
      <text>
        <r>
          <rPr>
            <b/>
            <sz val="9"/>
            <color indexed="53"/>
            <rFont val="Tahoma"/>
            <family val="2"/>
          </rPr>
          <t xml:space="preserve">Mensualisation </t>
        </r>
        <r>
          <rPr>
            <b/>
            <u/>
            <sz val="9"/>
            <color indexed="53"/>
            <rFont val="Tahoma"/>
            <family val="2"/>
          </rPr>
          <t xml:space="preserve">Congés Payés Inclus </t>
        </r>
        <r>
          <rPr>
            <b/>
            <sz val="9"/>
            <color indexed="57"/>
            <rFont val="Tahoma"/>
            <family val="2"/>
          </rPr>
          <t xml:space="preserve">: 
</t>
        </r>
        <r>
          <rPr>
            <sz val="9"/>
            <color indexed="81"/>
            <rFont val="Tahoma"/>
            <family val="2"/>
          </rPr>
          <t xml:space="preserve">Montant mensuel correspondant aux  11% de CP  sur les Heures complémentaires et supplémentaires </t>
        </r>
        <r>
          <rPr>
            <b/>
            <sz val="9"/>
            <color indexed="53"/>
            <rFont val="Tahoma"/>
            <family val="2"/>
          </rPr>
          <t>à verser en plus du salaire mensualisé de base</t>
        </r>
        <r>
          <rPr>
            <b/>
            <sz val="9"/>
            <color indexed="57"/>
            <rFont val="Tahoma"/>
            <family val="2"/>
          </rPr>
          <t xml:space="preserve">
Mensualisation </t>
        </r>
        <r>
          <rPr>
            <b/>
            <u/>
            <sz val="9"/>
            <color indexed="57"/>
            <rFont val="Tahoma"/>
            <family val="2"/>
          </rPr>
          <t>Congés payés Non Inclus:</t>
        </r>
        <r>
          <rPr>
            <b/>
            <sz val="9"/>
            <color indexed="57"/>
            <rFont val="Tahoma"/>
            <family val="2"/>
          </rPr>
          <t xml:space="preserve">
</t>
        </r>
        <r>
          <rPr>
            <sz val="9"/>
            <color indexed="81"/>
            <rFont val="Tahoma"/>
            <family val="2"/>
          </rPr>
          <t>Montant mensuel</t>
        </r>
        <r>
          <rPr>
            <b/>
            <sz val="9"/>
            <color indexed="57"/>
            <rFont val="Tahoma"/>
            <family val="2"/>
          </rPr>
          <t xml:space="preserve"> </t>
        </r>
        <r>
          <rPr>
            <b/>
            <sz val="9"/>
            <color indexed="10"/>
            <rFont val="Tahoma"/>
            <family val="2"/>
          </rPr>
          <t>à verser en plus du salaire</t>
        </r>
        <r>
          <rPr>
            <sz val="9"/>
            <color indexed="81"/>
            <rFont val="Tahoma"/>
            <family val="2"/>
          </rPr>
          <t xml:space="preserve"> correspondant aux 11% de CP  Heures complémentaires et supplémentaires</t>
        </r>
        <r>
          <rPr>
            <b/>
            <sz val="9"/>
            <color indexed="57"/>
            <rFont val="Tahoma"/>
            <family val="2"/>
          </rPr>
          <t xml:space="preserve">
</t>
        </r>
      </text>
    </comment>
    <comment ref="M81" authorId="0" shapeId="0" xr:uid="{288CD04E-F24D-4901-85BC-B0E087980316}">
      <text>
        <r>
          <rPr>
            <b/>
            <sz val="9"/>
            <color indexed="52"/>
            <rFont val="Tahoma"/>
            <family val="2"/>
          </rPr>
          <t xml:space="preserve">Mensualisation </t>
        </r>
        <r>
          <rPr>
            <b/>
            <u/>
            <sz val="9"/>
            <color indexed="52"/>
            <rFont val="Tahoma"/>
            <family val="2"/>
          </rPr>
          <t>Congés Payés Inclus</t>
        </r>
        <r>
          <rPr>
            <b/>
            <sz val="9"/>
            <color indexed="52"/>
            <rFont val="Tahoma"/>
            <family val="2"/>
          </rPr>
          <t xml:space="preserve"> </t>
        </r>
        <r>
          <rPr>
            <b/>
            <sz val="9"/>
            <color indexed="51"/>
            <rFont val="Tahoma"/>
            <family val="2"/>
          </rPr>
          <t xml:space="preserve">: </t>
        </r>
        <r>
          <rPr>
            <sz val="9"/>
            <color indexed="81"/>
            <rFont val="Tahoma"/>
            <family val="2"/>
          </rPr>
          <t>11% CP Heures complémentaires et supplémentaires</t>
        </r>
        <r>
          <rPr>
            <b/>
            <sz val="9"/>
            <color indexed="81"/>
            <rFont val="Tahoma"/>
            <family val="2"/>
          </rPr>
          <t xml:space="preserve">
</t>
        </r>
        <r>
          <rPr>
            <b/>
            <sz val="9"/>
            <color indexed="57"/>
            <rFont val="Tahoma"/>
            <family val="2"/>
          </rPr>
          <t xml:space="preserve">Mensualisation </t>
        </r>
        <r>
          <rPr>
            <b/>
            <u/>
            <sz val="9"/>
            <color indexed="57"/>
            <rFont val="Tahoma"/>
            <family val="2"/>
          </rPr>
          <t>Congés payés Non Inclus</t>
        </r>
        <r>
          <rPr>
            <b/>
            <sz val="9"/>
            <color indexed="57"/>
            <rFont val="Tahoma"/>
            <family val="2"/>
          </rPr>
          <t>:</t>
        </r>
        <r>
          <rPr>
            <sz val="9"/>
            <color indexed="8"/>
            <rFont val="Tahoma"/>
            <family val="2"/>
          </rPr>
          <t xml:space="preserve">
Autre Formule de calcul intégrant mensuellement les 10% de CP dus sur le salaire de base et sur les H Compl et suppl et  </t>
        </r>
        <r>
          <rPr>
            <b/>
            <sz val="9"/>
            <color indexed="10"/>
            <rFont val="Tahoma"/>
            <family val="2"/>
          </rPr>
          <t>en fin d'année de référence seulement</t>
        </r>
        <r>
          <rPr>
            <sz val="9"/>
            <color indexed="8"/>
            <rFont val="Tahoma"/>
            <family val="2"/>
          </rPr>
          <t xml:space="preserve"> les 10% dus sur les  CP ( = montant équivalent cellule J 41)</t>
        </r>
      </text>
    </comment>
    <comment ref="O83" authorId="4" shapeId="0" xr:uid="{BEF7379E-7583-4BF9-A888-291B1613D6F4}">
      <text>
        <r>
          <rPr>
            <sz val="9"/>
            <color indexed="8"/>
            <rFont val="Tahoma"/>
            <family val="2"/>
          </rPr>
          <t xml:space="preserve">Saisir le montant de la </t>
        </r>
        <r>
          <rPr>
            <u/>
            <sz val="9"/>
            <color indexed="8"/>
            <rFont val="Tahoma"/>
            <family val="2"/>
          </rPr>
          <t>mensualisation BRUT de base*</t>
        </r>
        <r>
          <rPr>
            <sz val="9"/>
            <color indexed="8"/>
            <rFont val="Tahoma"/>
            <family val="2"/>
          </rPr>
          <t xml:space="preserve"> en cours au moment de la prise des congés principaux  - Vérifier à la fin de l'année de référence et au moment de la rupture du contrat
*Les régularisations au titre d'heures complémentaires ou supplémentaires ainsi que les absences non rémunérées sont saisies dans la colonne J ou L</t>
        </r>
      </text>
    </comment>
    <comment ref="O85" authorId="0" shapeId="0" xr:uid="{02F6D003-3BE3-4E8A-81B6-B673DB10A4B9}">
      <text>
        <r>
          <rPr>
            <sz val="9"/>
            <color indexed="81"/>
            <rFont val="Tahoma"/>
            <family val="2"/>
          </rPr>
          <t xml:space="preserve">Si </t>
        </r>
        <r>
          <rPr>
            <b/>
            <sz val="9"/>
            <color indexed="10"/>
            <rFont val="Tahoma"/>
            <family val="2"/>
          </rPr>
          <t>montant négatif</t>
        </r>
        <r>
          <rPr>
            <b/>
            <sz val="9"/>
            <color indexed="81"/>
            <rFont val="Tahoma"/>
            <family val="2"/>
          </rPr>
          <t xml:space="preserve"> </t>
        </r>
        <r>
          <rPr>
            <sz val="9"/>
            <color indexed="81"/>
            <rFont val="Tahoma"/>
            <family val="2"/>
          </rPr>
          <t xml:space="preserve">
 congés payés </t>
        </r>
        <r>
          <rPr>
            <sz val="9"/>
            <color indexed="10"/>
            <rFont val="Tahoma"/>
            <family val="2"/>
          </rPr>
          <t>non acquis &amp; pris par anticipation</t>
        </r>
        <r>
          <rPr>
            <sz val="9"/>
            <color indexed="81"/>
            <rFont val="Tahoma"/>
            <family val="2"/>
          </rPr>
          <t xml:space="preserve"> au moment de  la rupture du contrat ou en fin d'année référence génèrant le remboursement  du trop perçu à l'employeur </t>
        </r>
      </text>
    </comment>
    <comment ref="O89" authorId="0" shapeId="0" xr:uid="{8AC95CB5-FC41-47BD-AB33-3C98D4AD95FB}">
      <text>
        <r>
          <rPr>
            <b/>
            <sz val="9"/>
            <color indexed="10"/>
            <rFont val="Tahoma"/>
            <family val="2"/>
          </rPr>
          <t>Régularisation à effectuer</t>
        </r>
        <r>
          <rPr>
            <b/>
            <sz val="9"/>
            <color indexed="81"/>
            <rFont val="Tahoma"/>
            <family val="2"/>
          </rPr>
          <t xml:space="preserve"> </t>
        </r>
        <r>
          <rPr>
            <sz val="9"/>
            <color indexed="81"/>
            <rFont val="Tahoma"/>
            <family val="2"/>
          </rPr>
          <t xml:space="preserve">
Si le montant est négatif rien ne s'inscrit </t>
        </r>
      </text>
    </comment>
    <comment ref="O90" authorId="0" shapeId="0" xr:uid="{A46B3467-B453-47D6-B80C-FE0125758762}">
      <text>
        <r>
          <rPr>
            <sz val="9"/>
            <color indexed="81"/>
            <rFont val="Tahoma"/>
            <family val="2"/>
          </rPr>
          <t xml:space="preserve">
</t>
        </r>
        <r>
          <rPr>
            <b/>
            <sz val="9"/>
            <color indexed="81"/>
            <rFont val="Tahoma"/>
            <family val="2"/>
          </rPr>
          <t xml:space="preserve">Méthode du 10ème </t>
        </r>
        <r>
          <rPr>
            <sz val="9"/>
            <color indexed="81"/>
            <rFont val="Tahoma"/>
            <family val="2"/>
          </rPr>
          <t xml:space="preserve">
</t>
        </r>
      </text>
    </comment>
    <comment ref="O91" authorId="0" shapeId="0" xr:uid="{97277884-E347-4B1F-9CD6-2F48F78ABAB1}">
      <text>
        <r>
          <rPr>
            <sz val="9"/>
            <color indexed="81"/>
            <rFont val="Tahoma"/>
            <family val="2"/>
          </rPr>
          <t>Si cette période est une</t>
        </r>
        <r>
          <rPr>
            <b/>
            <sz val="9"/>
            <color indexed="81"/>
            <rFont val="Tahoma"/>
            <family val="2"/>
          </rPr>
          <t xml:space="preserve"> fin de contrat -</t>
        </r>
        <r>
          <rPr>
            <b/>
            <sz val="9"/>
            <color indexed="10"/>
            <rFont val="Tahoma"/>
            <family val="2"/>
          </rPr>
          <t xml:space="preserve"> cellule G80 cochée "OUI" - </t>
        </r>
        <r>
          <rPr>
            <sz val="9"/>
            <color indexed="81"/>
            <rFont val="Tahoma"/>
            <family val="2"/>
          </rPr>
          <t xml:space="preserve">la </t>
        </r>
        <r>
          <rPr>
            <b/>
            <sz val="9"/>
            <color indexed="81"/>
            <rFont val="Tahoma"/>
            <family val="2"/>
          </rPr>
          <t>cellule O91</t>
        </r>
        <r>
          <rPr>
            <sz val="9"/>
            <color indexed="81"/>
            <rFont val="Tahoma"/>
            <family val="2"/>
          </rPr>
          <t xml:space="preserve"> doit être </t>
        </r>
        <r>
          <rPr>
            <b/>
            <sz val="9"/>
            <color indexed="81"/>
            <rFont val="Tahoma"/>
            <family val="2"/>
          </rPr>
          <t>cochée "NON"</t>
        </r>
      </text>
    </comment>
    <comment ref="N95" authorId="0" shapeId="0" xr:uid="{04FECEB4-E19B-499B-AD8E-B7C5AA824687}">
      <text>
        <r>
          <rPr>
            <sz val="9"/>
            <color indexed="81"/>
            <rFont val="Tahoma"/>
            <family val="2"/>
          </rPr>
          <t xml:space="preserve">Les congés payés </t>
        </r>
        <r>
          <rPr>
            <sz val="9"/>
            <color indexed="10"/>
            <rFont val="Tahoma"/>
            <family val="2"/>
          </rPr>
          <t xml:space="preserve">acquis &amp; </t>
        </r>
        <r>
          <rPr>
            <b/>
            <sz val="9"/>
            <color indexed="10"/>
            <rFont val="Tahoma"/>
            <family val="2"/>
          </rPr>
          <t>non pris</t>
        </r>
        <r>
          <rPr>
            <sz val="9"/>
            <color indexed="81"/>
            <rFont val="Tahoma"/>
            <family val="2"/>
          </rPr>
          <t xml:space="preserve"> au moment de  la rupture du contrat ou non reportés en fin d'année référence génèrent le versement  d' une indemnité compensatrice au salarié.
A contrario les congés payés</t>
        </r>
        <r>
          <rPr>
            <sz val="9"/>
            <color indexed="10"/>
            <rFont val="Tahoma"/>
            <family val="2"/>
          </rPr>
          <t xml:space="preserve"> non acquis &amp; pris par anticipation</t>
        </r>
        <r>
          <rPr>
            <sz val="9"/>
            <color indexed="81"/>
            <rFont val="Tahoma"/>
            <family val="2"/>
          </rPr>
          <t xml:space="preserve"> au moment de  la rupture du contrat ou non déduits de l'année référence suivante génèrent le remboursement  du trop perçu à l'employeur (Cf cellule O85 si négatif).Cependant la régularisation au titre de la méthode la plus favorable reste due.</t>
        </r>
        <r>
          <rPr>
            <sz val="11"/>
            <color indexed="81"/>
            <rFont val="Tahoma"/>
            <family val="2"/>
          </rPr>
          <t xml:space="preserve">
</t>
        </r>
      </text>
    </comment>
    <comment ref="O95" authorId="0" shapeId="0" xr:uid="{AF4C81D6-C66B-40E2-A6B0-3C1559F2F772}">
      <text>
        <r>
          <rPr>
            <sz val="9"/>
            <color indexed="81"/>
            <rFont val="Tahoma"/>
            <family val="2"/>
          </rPr>
          <t xml:space="preserve">Soit :
- </t>
        </r>
        <r>
          <rPr>
            <b/>
            <sz val="9"/>
            <color indexed="81"/>
            <rFont val="Tahoma"/>
            <family val="2"/>
          </rPr>
          <t>Si la cellule O89 est inactive :</t>
        </r>
        <r>
          <rPr>
            <sz val="9"/>
            <color indexed="81"/>
            <rFont val="Tahoma"/>
            <family val="2"/>
          </rPr>
          <t xml:space="preserve">
La somme est égale à la cellule O85 </t>
        </r>
        <r>
          <rPr>
            <sz val="9"/>
            <color indexed="10"/>
            <rFont val="Tahoma"/>
            <family val="2"/>
          </rPr>
          <t>en absence de report des congés</t>
        </r>
        <r>
          <rPr>
            <sz val="9"/>
            <color indexed="81"/>
            <rFont val="Tahoma"/>
            <family val="2"/>
          </rPr>
          <t xml:space="preserve">
La somme nulle </t>
        </r>
        <r>
          <rPr>
            <sz val="9"/>
            <color indexed="10"/>
            <rFont val="Tahoma"/>
            <family val="2"/>
          </rPr>
          <t>si report des congés</t>
        </r>
        <r>
          <rPr>
            <sz val="9"/>
            <color indexed="81"/>
            <rFont val="Tahoma"/>
            <family val="2"/>
          </rPr>
          <t xml:space="preserve">
</t>
        </r>
        <r>
          <rPr>
            <b/>
            <sz val="9"/>
            <color indexed="81"/>
            <rFont val="Tahoma"/>
            <family val="2"/>
          </rPr>
          <t>- Si la cellule O89 est active :</t>
        </r>
        <r>
          <rPr>
            <sz val="9"/>
            <color indexed="81"/>
            <rFont val="Tahoma"/>
            <family val="2"/>
          </rPr>
          <t xml:space="preserve"> 
</t>
        </r>
        <r>
          <rPr>
            <b/>
            <sz val="9"/>
            <color indexed="10"/>
            <rFont val="Tahoma"/>
            <family val="2"/>
          </rPr>
          <t xml:space="preserve">Et </t>
        </r>
        <r>
          <rPr>
            <sz val="9"/>
            <color indexed="10"/>
            <rFont val="Tahoma"/>
            <family val="2"/>
          </rPr>
          <t>en absence de report des congés ,</t>
        </r>
        <r>
          <rPr>
            <sz val="9"/>
            <color indexed="81"/>
            <rFont val="Tahoma"/>
            <family val="2"/>
          </rPr>
          <t xml:space="preserve"> La somme est égale à la cellule O85 +O89 (soit la différence de la cellule O86 moins J98/99 au titre de régularisation du plus favorable et les CP acquis et non pris)
</t>
        </r>
        <r>
          <rPr>
            <sz val="9"/>
            <color indexed="10"/>
            <rFont val="Tahoma"/>
            <family val="2"/>
          </rPr>
          <t xml:space="preserve">Avec de report des congés </t>
        </r>
        <r>
          <rPr>
            <sz val="9"/>
            <color indexed="81"/>
            <rFont val="Tahoma"/>
            <family val="2"/>
          </rPr>
          <t xml:space="preserve">, la somme est égale à la cellule O89 au titre de régularisation du plus favorable </t>
        </r>
        <r>
          <rPr>
            <sz val="10"/>
            <color indexed="81"/>
            <rFont val="Tahoma"/>
            <family val="2"/>
          </rPr>
          <t xml:space="preserve">
</t>
        </r>
      </text>
    </comment>
    <comment ref="A97" authorId="0" shapeId="0" xr:uid="{7DDDF917-9A40-4441-89E0-9A26E51B416B}">
      <text>
        <r>
          <rPr>
            <sz val="11"/>
            <color indexed="81"/>
            <rFont val="Tahoma"/>
            <family val="2"/>
          </rPr>
          <t>* Déduction des CP en cas d’arrêt de travail pour maladie non professionnelle au-delà de  38,4 semaines/année de référence
et Déduction des CP EXCLUSIVEMENT en cas de début ou fin de contrat en cours de mois
NOTA : VOIR ONGLET "Explication déduction CP"</t>
        </r>
      </text>
    </comment>
    <comment ref="E97" authorId="0" shapeId="0" xr:uid="{3DA5BF29-C940-4739-932D-776ED4B35DE9}">
      <text>
        <r>
          <rPr>
            <sz val="11"/>
            <color indexed="81"/>
            <rFont val="Tahoma"/>
            <family val="2"/>
          </rPr>
          <t xml:space="preserve">NOTA : La saisie se fait dans l'onglet Explication déduction CP
Le contrat ANAMAAF est en conformité avec l’article 7 de la directive européenne CE 2003/88/CE du 04 novembre 2003, et la décision de la Cour de Justice Européenne  dans son arrêt du 24 Janvier 2012, - tout salarié absent en raison d’une maladie professionnelle ou non (ou en chômage partiel) a droit à un congé annuel payé d’au moins  4 semaines - c’est l’année de référence qui fixe le début et la fin – exemple un arrêt continu de 43 semaines réparti sur 2 années de référence   ne génère pas de déduction de jours de congés payés acquis
Il gère aussi la déduction de CP en cas de début ou fin de contrat en cours de mois : Suivre les indications de l'onglet Explication déduction CP à partir de la ligne 34
</t>
        </r>
      </text>
    </comment>
    <comment ref="E98" authorId="1" shapeId="0" xr:uid="{BBE06236-7AF7-410B-99D7-4A3BF0B37B5C}">
      <text>
        <r>
          <rPr>
            <sz val="9"/>
            <color indexed="81"/>
            <rFont val="Tahoma"/>
            <family val="2"/>
          </rPr>
          <t xml:space="preserve">Les </t>
        </r>
        <r>
          <rPr>
            <b/>
            <sz val="9"/>
            <color indexed="81"/>
            <rFont val="Tahoma"/>
            <family val="2"/>
          </rPr>
          <t>congés payés</t>
        </r>
        <r>
          <rPr>
            <sz val="9"/>
            <color indexed="81"/>
            <rFont val="Tahoma"/>
            <family val="2"/>
          </rPr>
          <t xml:space="preserve"> se  prennent en </t>
        </r>
        <r>
          <rPr>
            <b/>
            <sz val="9"/>
            <color indexed="81"/>
            <rFont val="Tahoma"/>
            <family val="2"/>
          </rPr>
          <t>jour entier</t>
        </r>
        <r>
          <rPr>
            <sz val="9"/>
            <color indexed="81"/>
            <rFont val="Tahoma"/>
            <family val="2"/>
          </rPr>
          <t xml:space="preserve"> et sont </t>
        </r>
        <r>
          <rPr>
            <b/>
            <sz val="9"/>
            <color indexed="81"/>
            <rFont val="Tahoma"/>
            <family val="2"/>
          </rPr>
          <t>non fractionnables.</t>
        </r>
        <r>
          <rPr>
            <sz val="9"/>
            <color indexed="81"/>
            <rFont val="Tahoma"/>
            <family val="2"/>
          </rPr>
          <t xml:space="preserve">
</t>
        </r>
      </text>
    </comment>
    <comment ref="J98" authorId="1" shapeId="0" xr:uid="{2BE5704C-6AF5-4976-840D-3C6DF92613D0}">
      <text>
        <r>
          <rPr>
            <b/>
            <sz val="9"/>
            <color indexed="51"/>
            <rFont val="Tahoma"/>
            <family val="2"/>
          </rPr>
          <t>Mensualisation Congés payés inclus</t>
        </r>
        <r>
          <rPr>
            <sz val="9"/>
            <color indexed="81"/>
            <rFont val="Tahoma"/>
            <family val="2"/>
          </rPr>
          <t xml:space="preserve">
Total des congés payés mensualisés et de ceux perçus ou à percevoir sur les heures complémentaires et supplémentaires</t>
        </r>
      </text>
    </comment>
    <comment ref="E100" authorId="1" shapeId="0" xr:uid="{428BD3B5-564B-4D95-8588-54868B084A56}">
      <text>
        <r>
          <rPr>
            <sz val="9"/>
            <color indexed="81"/>
            <rFont val="Tahoma"/>
            <family val="2"/>
          </rPr>
          <t xml:space="preserve">Jours de congés payés supplémenatires acquis si  maximum 24 jours ouvrables de congés pris* sont fractionnées en plusieurs fois (minimum obligatoire -si acquis -  12 jours ouvrables  consécutifs entre le 1er mai et le 31 octobre) :
- 2 jours de congés supplémentaires si 6 jours de congés sont pris séparément entre le 1er Novembre et le 30 Avril.
- 1 jour de congé supplémentaire si 3 à 5 jours de congés sont pris séparément entre le 1er Novembre et le 30 Avril..
* la 5ème semaine de congés payés n'entre pas dans le calcul du droit au jour de farctionnement .
</t>
        </r>
        <r>
          <rPr>
            <sz val="9"/>
            <color indexed="10"/>
            <rFont val="Tahoma"/>
            <family val="2"/>
          </rPr>
          <t xml:space="preserve">Ces jours de fractionnement </t>
        </r>
        <r>
          <rPr>
            <b/>
            <sz val="9"/>
            <color indexed="10"/>
            <rFont val="Tahoma"/>
            <family val="2"/>
          </rPr>
          <t>se cumulent en plus</t>
        </r>
        <r>
          <rPr>
            <sz val="9"/>
            <color indexed="10"/>
            <rFont val="Tahoma"/>
            <family val="2"/>
          </rPr>
          <t xml:space="preserve"> du nombre de jours ce congés payés acquis. </t>
        </r>
      </text>
    </comment>
    <comment ref="E101" authorId="0" shapeId="0" xr:uid="{A58BB821-7546-4881-B3A8-E9ED05C23A9C}">
      <text>
        <r>
          <rPr>
            <sz val="9"/>
            <color indexed="81"/>
            <rFont val="Tahoma"/>
            <family val="2"/>
          </rPr>
          <t xml:space="preserve">Total jours ouvrables acquis : Congés légaux - avec report le cas échéant et jours de fractionnement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Unsa</author>
    <author>utilisateur</author>
    <author>Marie Noêlle PETITGAS</author>
    <author>Utilisateur</author>
    <author>moii</author>
  </authors>
  <commentList>
    <comment ref="A12" authorId="0" shapeId="0" xr:uid="{F9D0EF31-B17F-4FCF-89EE-4D7778691BCE}">
      <text>
        <r>
          <rPr>
            <sz val="9"/>
            <color indexed="81"/>
            <rFont val="Tahoma"/>
            <family val="2"/>
          </rPr>
          <t xml:space="preserve">Aide ,la touche x du clavier est celle utilisée
(ordre w </t>
        </r>
        <r>
          <rPr>
            <sz val="9"/>
            <color indexed="10"/>
            <rFont val="Tahoma"/>
            <family val="2"/>
          </rPr>
          <t>x</t>
        </r>
        <r>
          <rPr>
            <sz val="9"/>
            <color indexed="81"/>
            <rFont val="Tahoma"/>
            <family val="2"/>
          </rPr>
          <t xml:space="preserve"> c v b n... )</t>
        </r>
      </text>
    </comment>
    <comment ref="A13" authorId="0" shapeId="0" xr:uid="{C69D30A2-93E0-418A-941F-EEDE27ACDDB4}">
      <text>
        <r>
          <rPr>
            <b/>
            <sz val="11"/>
            <color indexed="81"/>
            <rFont val="Tahoma"/>
            <family val="2"/>
          </rPr>
          <t xml:space="preserve">Vos congés payés </t>
        </r>
        <r>
          <rPr>
            <b/>
            <sz val="11"/>
            <color indexed="10"/>
            <rFont val="Tahoma"/>
            <family val="2"/>
          </rPr>
          <t>ne sont pas inclus</t>
        </r>
        <r>
          <rPr>
            <b/>
            <sz val="11"/>
            <color indexed="81"/>
            <rFont val="Tahoma"/>
            <family val="2"/>
          </rPr>
          <t xml:space="preserve"> dans le calcul de la mensualisation mettre une croix (x)
Il ne peut être saisi 2 (x) croix </t>
        </r>
      </text>
    </comment>
    <comment ref="A14" authorId="0" shapeId="0" xr:uid="{263241CE-8765-4A8E-B30E-A05E633B96C2}">
      <text>
        <r>
          <rPr>
            <b/>
            <sz val="9"/>
            <color indexed="81"/>
            <rFont val="Tahoma"/>
            <family val="2"/>
          </rPr>
          <t xml:space="preserve">Vos congés </t>
        </r>
        <r>
          <rPr>
            <b/>
            <sz val="9"/>
            <color indexed="10"/>
            <rFont val="Tahoma"/>
            <family val="2"/>
          </rPr>
          <t xml:space="preserve"> payés sont  inclus </t>
        </r>
        <r>
          <rPr>
            <b/>
            <sz val="9"/>
            <color indexed="81"/>
            <rFont val="Tahoma"/>
            <family val="2"/>
          </rPr>
          <t>dans le calcul de la mensualisation mettre une croix (x)</t>
        </r>
      </text>
    </comment>
    <comment ref="I17" authorId="1" shapeId="0" xr:uid="{E508D0E4-A4D7-4CAF-BC5A-66257AE34FC0}">
      <text>
        <r>
          <rPr>
            <sz val="9"/>
            <color indexed="81"/>
            <rFont val="Tahoma"/>
            <family val="2"/>
          </rPr>
          <t xml:space="preserve">Format 00/00/0000
</t>
        </r>
      </text>
    </comment>
    <comment ref="J19" authorId="2" shapeId="0" xr:uid="{8F4C36CC-A8CF-4A3C-8F8D-7EFA9BB11C7F}">
      <text>
        <r>
          <rPr>
            <sz val="9"/>
            <color indexed="81"/>
            <rFont val="Tahoma"/>
            <family val="2"/>
          </rPr>
          <t xml:space="preserve">Date de </t>
        </r>
        <r>
          <rPr>
            <b/>
            <sz val="9"/>
            <color indexed="81"/>
            <rFont val="Tahoma"/>
            <family val="2"/>
          </rPr>
          <t>début du contrat</t>
        </r>
        <r>
          <rPr>
            <sz val="9"/>
            <color indexed="81"/>
            <rFont val="Tahoma"/>
            <family val="2"/>
          </rPr>
          <t xml:space="preserve"> </t>
        </r>
        <r>
          <rPr>
            <b/>
            <sz val="9"/>
            <color indexed="10"/>
            <rFont val="Tahoma"/>
            <family val="2"/>
          </rPr>
          <t>ou</t>
        </r>
        <r>
          <rPr>
            <sz val="9"/>
            <color indexed="81"/>
            <rFont val="Tahoma"/>
            <family val="2"/>
          </rPr>
          <t xml:space="preserve"> de </t>
        </r>
        <r>
          <rPr>
            <b/>
            <sz val="9"/>
            <color indexed="81"/>
            <rFont val="Tahoma"/>
            <family val="2"/>
          </rPr>
          <t>début d'année de référence</t>
        </r>
        <r>
          <rPr>
            <sz val="9"/>
            <color indexed="81"/>
            <rFont val="Tahoma"/>
            <family val="2"/>
          </rPr>
          <t xml:space="preserve"> des congés payés fixée au contrat de travail - Format 00/00/0000</t>
        </r>
      </text>
    </comment>
    <comment ref="L19" authorId="2" shapeId="0" xr:uid="{D1DC4366-2D8F-4B75-B4FF-66DBF66C9712}">
      <text>
        <r>
          <rPr>
            <sz val="9"/>
            <color indexed="81"/>
            <rFont val="Tahoma"/>
            <family val="2"/>
          </rPr>
          <t xml:space="preserve">Date de </t>
        </r>
        <r>
          <rPr>
            <b/>
            <sz val="9"/>
            <color indexed="81"/>
            <rFont val="Tahoma"/>
            <family val="2"/>
          </rPr>
          <t>fin d'année de référence</t>
        </r>
        <r>
          <rPr>
            <sz val="9"/>
            <color indexed="81"/>
            <rFont val="Tahoma"/>
            <family val="2"/>
          </rPr>
          <t xml:space="preserve"> des congés payés fixée au contrat de travail
</t>
        </r>
        <r>
          <rPr>
            <b/>
            <sz val="9"/>
            <color indexed="81"/>
            <rFont val="Tahoma"/>
            <family val="2"/>
          </rPr>
          <t>ou</t>
        </r>
        <r>
          <rPr>
            <sz val="9"/>
            <color indexed="81"/>
            <rFont val="Tahoma"/>
            <family val="2"/>
          </rPr>
          <t xml:space="preserve"> le cas échéant de rupture du contrat. Format 00/00/0000</t>
        </r>
      </text>
    </comment>
    <comment ref="A23" authorId="1" shapeId="0" xr:uid="{25EDEA5D-2368-4422-AC34-B75DD11E7B49}">
      <text>
        <r>
          <rPr>
            <b/>
            <sz val="9"/>
            <color indexed="81"/>
            <rFont val="Tahoma"/>
            <family val="2"/>
          </rPr>
          <t>Soit 2,5 jours ouvrables*/mois</t>
        </r>
        <r>
          <rPr>
            <sz val="9"/>
            <color indexed="81"/>
            <rFont val="Tahoma"/>
            <family val="2"/>
          </rPr>
          <t xml:space="preserve"> </t>
        </r>
        <r>
          <rPr>
            <b/>
            <u/>
            <sz val="9"/>
            <color indexed="10"/>
            <rFont val="Tahoma"/>
            <family val="2"/>
          </rPr>
          <t>quelque soit la durée effective de travail au cours du mois</t>
        </r>
        <r>
          <rPr>
            <b/>
            <sz val="9"/>
            <color indexed="10"/>
            <rFont val="Tahoma"/>
            <family val="2"/>
          </rPr>
          <t>.</t>
        </r>
        <r>
          <rPr>
            <sz val="9"/>
            <color indexed="81"/>
            <rFont val="Tahoma"/>
            <family val="2"/>
          </rPr>
          <t xml:space="preserve">
En cas de début ou de fin de contrat au cours  du mois, il convient de vérifier le nombre de périodes de 4 semaines entre le début et la fin de l'année de référence : 2,5 jours ouvrables/période de  4 semaines.
</t>
        </r>
        <r>
          <rPr>
            <b/>
            <sz val="9"/>
            <color indexed="81"/>
            <rFont val="Tahoma"/>
            <family val="2"/>
          </rPr>
          <t>12 mois ou 12 périodes de 4 semaines = 30 jours ouvrables de congés payés acquis auxquels se rajoutent le  cas échéant les jours de fractionnement.</t>
        </r>
        <r>
          <rPr>
            <sz val="9"/>
            <color indexed="81"/>
            <rFont val="Tahoma"/>
            <family val="2"/>
          </rPr>
          <t xml:space="preserve">
Le contrat de travail ANAMAAF prévoit - selon la directive européenne - l'acquisition des congés payés en arrêt maladie non professionnelle. 
Les congés payés (2,5 jours ouvrables/mois) restent acquis durant le congé maternité - l'arrêt pour accident du travail et maladie professionnelle ainsi que durant la période de prise des congés payés.
Les semaines d'absence - non travaillées - de congés sans solde prises en compte dans le calcul de la mensualistion pour une modulation annuelle du salaire (temps partiel) , n' interfèrent nullement dans l'acquisition des droits au Congé payé acquis: un salarié à temps partiel - quelque soit la durée effective - acquiert autant de jours de congés payés </t>
        </r>
        <r>
          <rPr>
            <b/>
            <u/>
            <sz val="9"/>
            <color indexed="81"/>
            <rFont val="Tahoma"/>
            <family val="2"/>
          </rPr>
          <t>en durée</t>
        </r>
        <r>
          <rPr>
            <sz val="9"/>
            <color indexed="81"/>
            <rFont val="Tahoma"/>
            <family val="2"/>
          </rPr>
          <t xml:space="preserve"> qu'un salarié à temps plein. Seul le montant de la rémunération  de ces congés payés  est proportionnel au salaire versé pour le temps de travail prévu par le contrat.
</t>
        </r>
        <r>
          <rPr>
            <b/>
            <sz val="9"/>
            <color indexed="81"/>
            <rFont val="Tahoma"/>
            <family val="2"/>
          </rPr>
          <t>* Jours ouvrables = tous les jours de la semaine à l'exception du Dimanche et des jours fériés</t>
        </r>
      </text>
    </comment>
    <comment ref="I23" authorId="0" shapeId="0" xr:uid="{94A33D0C-705C-4F2F-BA6A-763C5F565D47}">
      <text>
        <r>
          <rPr>
            <b/>
            <sz val="9"/>
            <color indexed="57"/>
            <rFont val="Tahoma"/>
            <family val="2"/>
          </rPr>
          <t xml:space="preserve">Mensualisation </t>
        </r>
        <r>
          <rPr>
            <b/>
            <u/>
            <sz val="9"/>
            <color indexed="57"/>
            <rFont val="Tahoma"/>
            <family val="2"/>
          </rPr>
          <t>Congés payés Non Inclus</t>
        </r>
        <r>
          <rPr>
            <b/>
            <sz val="9"/>
            <color indexed="57"/>
            <rFont val="Tahoma"/>
            <family val="2"/>
          </rPr>
          <t>:</t>
        </r>
        <r>
          <rPr>
            <b/>
            <sz val="9"/>
            <color indexed="81"/>
            <rFont val="Tahoma"/>
            <family val="2"/>
          </rPr>
          <t xml:space="preserve">
</t>
        </r>
        <r>
          <rPr>
            <sz val="9"/>
            <color indexed="8"/>
            <rFont val="Tahoma"/>
            <family val="2"/>
          </rPr>
          <t>Indiquer le salaire mensualisé -</t>
        </r>
        <r>
          <rPr>
            <b/>
            <sz val="9"/>
            <color indexed="10"/>
            <rFont val="Tahoma"/>
            <family val="2"/>
          </rPr>
          <t xml:space="preserve"> Sans les heures compl ou suppl </t>
        </r>
        <r>
          <rPr>
            <sz val="9"/>
            <color indexed="8"/>
            <rFont val="Tahoma"/>
            <family val="2"/>
          </rPr>
          <t xml:space="preserve">- minoré le cas échéant en cas d'absence 
</t>
        </r>
        <r>
          <rPr>
            <b/>
            <sz val="9"/>
            <color indexed="8"/>
            <rFont val="Tahoma"/>
            <family val="2"/>
          </rPr>
          <t xml:space="preserve">
</t>
        </r>
        <r>
          <rPr>
            <b/>
            <sz val="9"/>
            <color indexed="52"/>
            <rFont val="Tahoma"/>
            <family val="2"/>
          </rPr>
          <t xml:space="preserve">Mensualisation </t>
        </r>
        <r>
          <rPr>
            <b/>
            <u/>
            <sz val="9"/>
            <color indexed="52"/>
            <rFont val="Tahoma"/>
            <family val="2"/>
          </rPr>
          <t xml:space="preserve">Congés Payés Inclus </t>
        </r>
        <r>
          <rPr>
            <b/>
            <sz val="9"/>
            <color indexed="52"/>
            <rFont val="Tahoma"/>
            <family val="2"/>
          </rPr>
          <t>:</t>
        </r>
        <r>
          <rPr>
            <b/>
            <sz val="9"/>
            <color indexed="8"/>
            <rFont val="Tahoma"/>
            <family val="2"/>
          </rPr>
          <t xml:space="preserve">
</t>
        </r>
        <r>
          <rPr>
            <sz val="9"/>
            <color indexed="8"/>
            <rFont val="Tahoma"/>
            <family val="2"/>
          </rPr>
          <t>Indiquer le salaire mensualisé -</t>
        </r>
        <r>
          <rPr>
            <b/>
            <sz val="9"/>
            <color indexed="10"/>
            <rFont val="Tahoma"/>
            <family val="2"/>
          </rPr>
          <t xml:space="preserve"> Sans les heures compl ou supp</t>
        </r>
        <r>
          <rPr>
            <sz val="9"/>
            <color indexed="8"/>
            <rFont val="Tahoma"/>
            <family val="2"/>
          </rPr>
          <t xml:space="preserve"> - lminoré le cas échéant en cas d'absence</t>
        </r>
      </text>
    </comment>
    <comment ref="J23" authorId="1" shapeId="0" xr:uid="{14625B39-3E12-4D85-9F38-8C4A0DC5429E}">
      <text>
        <r>
          <rPr>
            <b/>
            <sz val="9"/>
            <color indexed="52"/>
            <rFont val="Tahoma"/>
            <family val="2"/>
          </rPr>
          <t xml:space="preserve">Mensualisation </t>
        </r>
        <r>
          <rPr>
            <b/>
            <u/>
            <sz val="9"/>
            <color indexed="52"/>
            <rFont val="Tahoma"/>
            <family val="2"/>
          </rPr>
          <t>Congés Payés Inclus</t>
        </r>
        <r>
          <rPr>
            <sz val="9"/>
            <color indexed="81"/>
            <rFont val="Tahoma"/>
            <family val="2"/>
          </rPr>
          <t xml:space="preserve"> : Montant mensuel correspondant aux  CP </t>
        </r>
        <r>
          <rPr>
            <b/>
            <u/>
            <sz val="9"/>
            <color indexed="81"/>
            <rFont val="Tahoma"/>
            <family val="2"/>
          </rPr>
          <t>inclus dans le salaire</t>
        </r>
        <r>
          <rPr>
            <sz val="9"/>
            <color indexed="81"/>
            <rFont val="Tahoma"/>
            <family val="2"/>
          </rPr>
          <t xml:space="preserve">  </t>
        </r>
        <r>
          <rPr>
            <b/>
            <u/>
            <sz val="9"/>
            <color indexed="10"/>
            <rFont val="Tahoma"/>
            <family val="2"/>
          </rPr>
          <t>HORMIS CP</t>
        </r>
        <r>
          <rPr>
            <sz val="9"/>
            <color indexed="10"/>
            <rFont val="Tahoma"/>
            <family val="2"/>
          </rPr>
          <t xml:space="preserve"> Heures complémentaires et supplémentaires</t>
        </r>
        <r>
          <rPr>
            <sz val="9"/>
            <color indexed="81"/>
            <rFont val="Tahoma"/>
            <family val="2"/>
          </rPr>
          <t xml:space="preserve">
</t>
        </r>
        <r>
          <rPr>
            <b/>
            <sz val="9"/>
            <color indexed="57"/>
            <rFont val="Tahoma"/>
            <family val="2"/>
          </rPr>
          <t xml:space="preserve">Mensualisation </t>
        </r>
        <r>
          <rPr>
            <b/>
            <u/>
            <sz val="9"/>
            <color indexed="57"/>
            <rFont val="Tahoma"/>
            <family val="2"/>
          </rPr>
          <t>Congés payés Non Inclus</t>
        </r>
        <r>
          <rPr>
            <sz val="9"/>
            <color indexed="81"/>
            <rFont val="Tahoma"/>
            <family val="2"/>
          </rPr>
          <t>:
Montant mensuel à</t>
        </r>
        <r>
          <rPr>
            <b/>
            <u/>
            <sz val="9"/>
            <color indexed="81"/>
            <rFont val="Tahoma"/>
            <family val="2"/>
          </rPr>
          <t xml:space="preserve"> verser en plus du salaire</t>
        </r>
        <r>
          <rPr>
            <sz val="9"/>
            <color indexed="81"/>
            <rFont val="Tahoma"/>
            <family val="2"/>
          </rPr>
          <t xml:space="preserve"> correspondant aux </t>
        </r>
        <r>
          <rPr>
            <b/>
            <sz val="9"/>
            <color indexed="81"/>
            <rFont val="Tahoma"/>
            <family val="2"/>
          </rPr>
          <t>11%</t>
        </r>
        <r>
          <rPr>
            <sz val="9"/>
            <color indexed="81"/>
            <rFont val="Tahoma"/>
            <family val="2"/>
          </rPr>
          <t xml:space="preserve"> de CP </t>
        </r>
        <r>
          <rPr>
            <b/>
            <u/>
            <sz val="9"/>
            <color indexed="81"/>
            <rFont val="Tahoma"/>
            <family val="2"/>
          </rPr>
          <t xml:space="preserve">sur le salaire mensuel de base càd   </t>
        </r>
        <r>
          <rPr>
            <b/>
            <u/>
            <sz val="9"/>
            <color indexed="10"/>
            <rFont val="Tahoma"/>
            <family val="2"/>
          </rPr>
          <t>HORMIS CP</t>
        </r>
        <r>
          <rPr>
            <b/>
            <u/>
            <sz val="9"/>
            <color indexed="81"/>
            <rFont val="Tahoma"/>
            <family val="2"/>
          </rPr>
          <t xml:space="preserve"> Heures complémentaires et supplémentaires</t>
        </r>
      </text>
    </comment>
    <comment ref="K23" authorId="3" shapeId="0" xr:uid="{F27A46A9-675D-4545-A840-B4816E87342D}">
      <text>
        <r>
          <rPr>
            <b/>
            <sz val="9"/>
            <color indexed="53"/>
            <rFont val="Tahoma"/>
            <family val="2"/>
          </rPr>
          <t xml:space="preserve">Mensualisation </t>
        </r>
        <r>
          <rPr>
            <b/>
            <u/>
            <sz val="9"/>
            <color indexed="53"/>
            <rFont val="Tahoma"/>
            <family val="2"/>
          </rPr>
          <t>Congés Payés Inclus</t>
        </r>
        <r>
          <rPr>
            <b/>
            <sz val="9"/>
            <color indexed="81"/>
            <rFont val="Tahoma"/>
            <family val="2"/>
          </rPr>
          <t xml:space="preserve"> : 
</t>
        </r>
        <r>
          <rPr>
            <b/>
            <u/>
            <sz val="9"/>
            <color indexed="10"/>
            <rFont val="Tahoma"/>
            <family val="2"/>
          </rPr>
          <t>Indiquer séparément</t>
        </r>
        <r>
          <rPr>
            <sz val="9"/>
            <color indexed="81"/>
            <rFont val="Tahoma"/>
            <family val="2"/>
          </rPr>
          <t xml:space="preserve"> les salaires correspondant aux  Heures complémentaires et supplémentaires et </t>
        </r>
        <r>
          <rPr>
            <b/>
            <u/>
            <sz val="9"/>
            <color indexed="10"/>
            <rFont val="Tahoma"/>
            <family val="2"/>
          </rPr>
          <t xml:space="preserve">verse en plus du salaire de base </t>
        </r>
        <r>
          <rPr>
            <sz val="9"/>
            <color indexed="81"/>
            <rFont val="Tahoma"/>
            <family val="2"/>
          </rPr>
          <t>pour prendre en compte l exnération des cotisations et la défiscalisation sur le bulletin de salaire</t>
        </r>
        <r>
          <rPr>
            <b/>
            <sz val="9"/>
            <color indexed="81"/>
            <rFont val="Tahoma"/>
            <family val="2"/>
          </rPr>
          <t xml:space="preserve">
</t>
        </r>
        <r>
          <rPr>
            <b/>
            <sz val="9"/>
            <color indexed="17"/>
            <rFont val="Tahoma"/>
            <family val="2"/>
          </rPr>
          <t xml:space="preserve">Mensualisation </t>
        </r>
        <r>
          <rPr>
            <b/>
            <u/>
            <sz val="9"/>
            <color indexed="17"/>
            <rFont val="Tahoma"/>
            <family val="2"/>
          </rPr>
          <t>Congés payés Non Inclus</t>
        </r>
        <r>
          <rPr>
            <b/>
            <sz val="9"/>
            <color indexed="17"/>
            <rFont val="Tahoma"/>
            <family val="2"/>
          </rPr>
          <t>:</t>
        </r>
        <r>
          <rPr>
            <b/>
            <sz val="9"/>
            <color indexed="81"/>
            <rFont val="Tahoma"/>
            <family val="2"/>
          </rPr>
          <t xml:space="preserve">
</t>
        </r>
        <r>
          <rPr>
            <b/>
            <u/>
            <sz val="9"/>
            <color indexed="10"/>
            <rFont val="Tahoma"/>
            <family val="2"/>
          </rPr>
          <t xml:space="preserve">Indiquer séparément </t>
        </r>
        <r>
          <rPr>
            <sz val="9"/>
            <color indexed="81"/>
            <rFont val="Tahoma"/>
            <family val="2"/>
          </rPr>
          <t>les salaires correspondant aux  Heures complémentaires et supplémentaires pour prendre en compte l exnération des cotisations et la défiscalisation sur le bulletin de salaire</t>
        </r>
      </text>
    </comment>
    <comment ref="L23" authorId="1" shapeId="0" xr:uid="{83A40070-F76C-4C87-9786-08CC40AF36F8}">
      <text>
        <r>
          <rPr>
            <b/>
            <sz val="9"/>
            <color indexed="53"/>
            <rFont val="Tahoma"/>
            <family val="2"/>
          </rPr>
          <t xml:space="preserve">Mensualisation </t>
        </r>
        <r>
          <rPr>
            <b/>
            <u/>
            <sz val="9"/>
            <color indexed="53"/>
            <rFont val="Tahoma"/>
            <family val="2"/>
          </rPr>
          <t xml:space="preserve">Congés Payés Inclus </t>
        </r>
        <r>
          <rPr>
            <b/>
            <sz val="9"/>
            <color indexed="57"/>
            <rFont val="Tahoma"/>
            <family val="2"/>
          </rPr>
          <t xml:space="preserve">: 
</t>
        </r>
        <r>
          <rPr>
            <sz val="9"/>
            <color indexed="81"/>
            <rFont val="Tahoma"/>
            <family val="2"/>
          </rPr>
          <t xml:space="preserve">Montant mensuel correspondant aux  11% de CP  sur les Heures complémentaires et supplémentaires </t>
        </r>
        <r>
          <rPr>
            <b/>
            <sz val="9"/>
            <color indexed="53"/>
            <rFont val="Tahoma"/>
            <family val="2"/>
          </rPr>
          <t>à verser en plus du salaire mensualisé de base</t>
        </r>
        <r>
          <rPr>
            <b/>
            <sz val="9"/>
            <color indexed="57"/>
            <rFont val="Tahoma"/>
            <family val="2"/>
          </rPr>
          <t xml:space="preserve">
Mensualisation </t>
        </r>
        <r>
          <rPr>
            <b/>
            <u/>
            <sz val="9"/>
            <color indexed="57"/>
            <rFont val="Tahoma"/>
            <family val="2"/>
          </rPr>
          <t>Congés payés Non Inclus:</t>
        </r>
        <r>
          <rPr>
            <b/>
            <sz val="9"/>
            <color indexed="57"/>
            <rFont val="Tahoma"/>
            <family val="2"/>
          </rPr>
          <t xml:space="preserve">
</t>
        </r>
        <r>
          <rPr>
            <sz val="9"/>
            <color indexed="81"/>
            <rFont val="Tahoma"/>
            <family val="2"/>
          </rPr>
          <t>Montant mensuel</t>
        </r>
        <r>
          <rPr>
            <b/>
            <sz val="9"/>
            <color indexed="57"/>
            <rFont val="Tahoma"/>
            <family val="2"/>
          </rPr>
          <t xml:space="preserve"> </t>
        </r>
        <r>
          <rPr>
            <b/>
            <sz val="9"/>
            <color indexed="10"/>
            <rFont val="Tahoma"/>
            <family val="2"/>
          </rPr>
          <t>à verser en plus du salaire</t>
        </r>
        <r>
          <rPr>
            <sz val="9"/>
            <color indexed="81"/>
            <rFont val="Tahoma"/>
            <family val="2"/>
          </rPr>
          <t xml:space="preserve"> correspondant aux 11% de CP  Heures complémentaires et supplémentaires</t>
        </r>
        <r>
          <rPr>
            <b/>
            <sz val="9"/>
            <color indexed="57"/>
            <rFont val="Tahoma"/>
            <family val="2"/>
          </rPr>
          <t xml:space="preserve">
</t>
        </r>
      </text>
    </comment>
    <comment ref="M23" authorId="0" shapeId="0" xr:uid="{E0F2C5FB-4D8B-4867-BCB8-3323CA07D42C}">
      <text>
        <r>
          <rPr>
            <b/>
            <sz val="9"/>
            <color indexed="52"/>
            <rFont val="Tahoma"/>
            <family val="2"/>
          </rPr>
          <t xml:space="preserve">Mensualisation </t>
        </r>
        <r>
          <rPr>
            <b/>
            <u/>
            <sz val="9"/>
            <color indexed="52"/>
            <rFont val="Tahoma"/>
            <family val="2"/>
          </rPr>
          <t>Congés Payés Inclus</t>
        </r>
        <r>
          <rPr>
            <b/>
            <sz val="9"/>
            <color indexed="52"/>
            <rFont val="Tahoma"/>
            <family val="2"/>
          </rPr>
          <t xml:space="preserve"> </t>
        </r>
        <r>
          <rPr>
            <b/>
            <sz val="9"/>
            <color indexed="51"/>
            <rFont val="Tahoma"/>
            <family val="2"/>
          </rPr>
          <t xml:space="preserve">: </t>
        </r>
        <r>
          <rPr>
            <sz val="9"/>
            <color indexed="81"/>
            <rFont val="Tahoma"/>
            <family val="2"/>
          </rPr>
          <t>11% CP Heures complémentaires et supplémentaires</t>
        </r>
        <r>
          <rPr>
            <b/>
            <sz val="9"/>
            <color indexed="81"/>
            <rFont val="Tahoma"/>
            <family val="2"/>
          </rPr>
          <t xml:space="preserve">
</t>
        </r>
        <r>
          <rPr>
            <b/>
            <sz val="9"/>
            <color indexed="57"/>
            <rFont val="Tahoma"/>
            <family val="2"/>
          </rPr>
          <t xml:space="preserve">Mensualisation </t>
        </r>
        <r>
          <rPr>
            <b/>
            <u/>
            <sz val="9"/>
            <color indexed="57"/>
            <rFont val="Tahoma"/>
            <family val="2"/>
          </rPr>
          <t>Congés payés Non Inclus</t>
        </r>
        <r>
          <rPr>
            <b/>
            <sz val="9"/>
            <color indexed="57"/>
            <rFont val="Tahoma"/>
            <family val="2"/>
          </rPr>
          <t>:</t>
        </r>
        <r>
          <rPr>
            <sz val="9"/>
            <color indexed="8"/>
            <rFont val="Tahoma"/>
            <family val="2"/>
          </rPr>
          <t xml:space="preserve">
Autre Formule de calcul intégrant mensuellement les 10% de CP dus sur le salaire de base et sur les H Compl et suppl et  </t>
        </r>
        <r>
          <rPr>
            <b/>
            <sz val="9"/>
            <color indexed="10"/>
            <rFont val="Tahoma"/>
            <family val="2"/>
          </rPr>
          <t>en fin d'année de référence seulement</t>
        </r>
        <r>
          <rPr>
            <sz val="9"/>
            <color indexed="8"/>
            <rFont val="Tahoma"/>
            <family val="2"/>
          </rPr>
          <t xml:space="preserve"> les 10% dus sur les  CP ( = montant équivalent cellule J 41)</t>
        </r>
      </text>
    </comment>
    <comment ref="O25" authorId="4" shapeId="0" xr:uid="{66026E51-3F42-47B5-8EF7-E3251493B3DE}">
      <text>
        <r>
          <rPr>
            <sz val="9"/>
            <color indexed="8"/>
            <rFont val="Tahoma"/>
            <family val="2"/>
          </rPr>
          <t xml:space="preserve">Saisir le montant de la </t>
        </r>
        <r>
          <rPr>
            <u/>
            <sz val="9"/>
            <color indexed="8"/>
            <rFont val="Tahoma"/>
            <family val="2"/>
          </rPr>
          <t>mensualisation BRUT de base*</t>
        </r>
        <r>
          <rPr>
            <sz val="9"/>
            <color indexed="8"/>
            <rFont val="Tahoma"/>
            <family val="2"/>
          </rPr>
          <t xml:space="preserve"> en cours au moment de la prise des congés principaux  - Vérifier à la fin de l'année de référence et au moment de la rupture du contrat
*Les régularisations au titre d'heures complémentaires ou supplémentaires ainsi que les absences non rémunérées sont saisies dans la colonne J ou L</t>
        </r>
      </text>
    </comment>
    <comment ref="O27" authorId="0" shapeId="0" xr:uid="{E593B5D5-5B5E-4EE0-9B9F-397BE2BC04A2}">
      <text>
        <r>
          <rPr>
            <sz val="9"/>
            <color indexed="81"/>
            <rFont val="Tahoma"/>
            <family val="2"/>
          </rPr>
          <t xml:space="preserve">Si </t>
        </r>
        <r>
          <rPr>
            <b/>
            <sz val="9"/>
            <color indexed="10"/>
            <rFont val="Tahoma"/>
            <family val="2"/>
          </rPr>
          <t>montant négatif</t>
        </r>
        <r>
          <rPr>
            <b/>
            <sz val="9"/>
            <color indexed="81"/>
            <rFont val="Tahoma"/>
            <family val="2"/>
          </rPr>
          <t xml:space="preserve"> </t>
        </r>
        <r>
          <rPr>
            <sz val="9"/>
            <color indexed="81"/>
            <rFont val="Tahoma"/>
            <family val="2"/>
          </rPr>
          <t xml:space="preserve">
 congés payés </t>
        </r>
        <r>
          <rPr>
            <sz val="9"/>
            <color indexed="10"/>
            <rFont val="Tahoma"/>
            <family val="2"/>
          </rPr>
          <t>non acquis &amp; pris par anticipation</t>
        </r>
        <r>
          <rPr>
            <sz val="9"/>
            <color indexed="81"/>
            <rFont val="Tahoma"/>
            <family val="2"/>
          </rPr>
          <t xml:space="preserve"> au moment de  la rupture du contrat ou en fin d'année référence génèrant le remboursement  du trop perçu à l'employeur </t>
        </r>
      </text>
    </comment>
    <comment ref="O31" authorId="0" shapeId="0" xr:uid="{E4327AFB-D3D4-42E9-BEB2-1952763EE857}">
      <text>
        <r>
          <rPr>
            <b/>
            <sz val="9"/>
            <color indexed="10"/>
            <rFont val="Tahoma"/>
            <family val="2"/>
          </rPr>
          <t>Régularisation à effectuer</t>
        </r>
        <r>
          <rPr>
            <b/>
            <sz val="9"/>
            <color indexed="81"/>
            <rFont val="Tahoma"/>
            <family val="2"/>
          </rPr>
          <t xml:space="preserve"> </t>
        </r>
        <r>
          <rPr>
            <sz val="9"/>
            <color indexed="81"/>
            <rFont val="Tahoma"/>
            <family val="2"/>
          </rPr>
          <t xml:space="preserve">
Si le montant est négatif rien ne s'inscrit </t>
        </r>
      </text>
    </comment>
    <comment ref="O32" authorId="0" shapeId="0" xr:uid="{16E0332F-4425-4E82-8632-7915F0474249}">
      <text>
        <r>
          <rPr>
            <sz val="9"/>
            <color indexed="81"/>
            <rFont val="Tahoma"/>
            <family val="2"/>
          </rPr>
          <t xml:space="preserve">
</t>
        </r>
        <r>
          <rPr>
            <b/>
            <sz val="9"/>
            <color indexed="81"/>
            <rFont val="Tahoma"/>
            <family val="2"/>
          </rPr>
          <t xml:space="preserve">Méthode du 10ème </t>
        </r>
        <r>
          <rPr>
            <sz val="9"/>
            <color indexed="81"/>
            <rFont val="Tahoma"/>
            <family val="2"/>
          </rPr>
          <t xml:space="preserve">
</t>
        </r>
      </text>
    </comment>
    <comment ref="O33" authorId="0" shapeId="0" xr:uid="{74F1B4AD-6E89-4222-BEB5-80F23CD79C44}">
      <text>
        <r>
          <rPr>
            <sz val="9"/>
            <color indexed="81"/>
            <rFont val="Tahoma"/>
            <family val="2"/>
          </rPr>
          <t>Si cette période est une</t>
        </r>
        <r>
          <rPr>
            <b/>
            <sz val="9"/>
            <color indexed="81"/>
            <rFont val="Tahoma"/>
            <family val="2"/>
          </rPr>
          <t xml:space="preserve"> fin de contrat -</t>
        </r>
        <r>
          <rPr>
            <b/>
            <sz val="9"/>
            <color indexed="10"/>
            <rFont val="Tahoma"/>
            <family val="2"/>
          </rPr>
          <t xml:space="preserve"> cellule G22 cochée "OUI" - </t>
        </r>
        <r>
          <rPr>
            <sz val="9"/>
            <color indexed="81"/>
            <rFont val="Tahoma"/>
            <family val="2"/>
          </rPr>
          <t xml:space="preserve">la </t>
        </r>
        <r>
          <rPr>
            <b/>
            <sz val="9"/>
            <color indexed="81"/>
            <rFont val="Tahoma"/>
            <family val="2"/>
          </rPr>
          <t>cellule O33</t>
        </r>
        <r>
          <rPr>
            <sz val="9"/>
            <color indexed="81"/>
            <rFont val="Tahoma"/>
            <family val="2"/>
          </rPr>
          <t xml:space="preserve"> doit être </t>
        </r>
        <r>
          <rPr>
            <b/>
            <sz val="9"/>
            <color indexed="81"/>
            <rFont val="Tahoma"/>
            <family val="2"/>
          </rPr>
          <t>cochée "NON"</t>
        </r>
      </text>
    </comment>
    <comment ref="N38" authorId="0" shapeId="0" xr:uid="{F86886DA-E607-4017-9366-AF617E01019F}">
      <text>
        <r>
          <rPr>
            <sz val="9"/>
            <color indexed="81"/>
            <rFont val="Tahoma"/>
            <family val="2"/>
          </rPr>
          <t xml:space="preserve">Les congés payés </t>
        </r>
        <r>
          <rPr>
            <sz val="9"/>
            <color indexed="10"/>
            <rFont val="Tahoma"/>
            <family val="2"/>
          </rPr>
          <t xml:space="preserve">acquis &amp; </t>
        </r>
        <r>
          <rPr>
            <b/>
            <sz val="9"/>
            <color indexed="10"/>
            <rFont val="Tahoma"/>
            <family val="2"/>
          </rPr>
          <t>non pris</t>
        </r>
        <r>
          <rPr>
            <sz val="9"/>
            <color indexed="81"/>
            <rFont val="Tahoma"/>
            <family val="2"/>
          </rPr>
          <t xml:space="preserve"> au moment de  la rupture du contrat ou non reportés en fin d'année référence génèrent le versement  d' une indemnité compensatrice au salarié.
A contrario les congés payés</t>
        </r>
        <r>
          <rPr>
            <sz val="9"/>
            <color indexed="10"/>
            <rFont val="Tahoma"/>
            <family val="2"/>
          </rPr>
          <t xml:space="preserve"> non acquis &amp; pris par anticipation</t>
        </r>
        <r>
          <rPr>
            <sz val="9"/>
            <color indexed="81"/>
            <rFont val="Tahoma"/>
            <family val="2"/>
          </rPr>
          <t xml:space="preserve"> au moment de  la rupture du contrat ou non déduits de l'année référence suivante génèrent le remboursement  du trop perçu à l'employeur (Cf cellule O27 si négatif).Cependant la régularisation au titre de la méthode la plus favorable reste due.</t>
        </r>
        <r>
          <rPr>
            <sz val="11"/>
            <color indexed="81"/>
            <rFont val="Tahoma"/>
            <family val="2"/>
          </rPr>
          <t xml:space="preserve">
</t>
        </r>
      </text>
    </comment>
    <comment ref="O38" authorId="0" shapeId="0" xr:uid="{3645BBBA-49D6-4AE4-A6C7-CFBFE1703EEF}">
      <text>
        <r>
          <rPr>
            <sz val="9"/>
            <color indexed="81"/>
            <rFont val="Tahoma"/>
            <family val="2"/>
          </rPr>
          <t xml:space="preserve">Soit :
- </t>
        </r>
        <r>
          <rPr>
            <b/>
            <sz val="9"/>
            <color indexed="81"/>
            <rFont val="Tahoma"/>
            <family val="2"/>
          </rPr>
          <t>Si la cellule O31 est inactive :</t>
        </r>
        <r>
          <rPr>
            <sz val="9"/>
            <color indexed="81"/>
            <rFont val="Tahoma"/>
            <family val="2"/>
          </rPr>
          <t xml:space="preserve">
La somme est égale à la cellule O27                                                                                                                                                                                                                                                                                                                                                                                                                                                                                                                                                                                                                                                                                                                                                                                                                                                                                                                                                                                                                                                                                                                                                                                                                                                         </t>
        </r>
        <r>
          <rPr>
            <sz val="9"/>
            <color indexed="10"/>
            <rFont val="Tahoma"/>
            <family val="2"/>
          </rPr>
          <t>en absence de report des congés</t>
        </r>
        <r>
          <rPr>
            <sz val="9"/>
            <color indexed="81"/>
            <rFont val="Tahoma"/>
            <family val="2"/>
          </rPr>
          <t xml:space="preserve">
La somme nulle </t>
        </r>
        <r>
          <rPr>
            <sz val="9"/>
            <color indexed="10"/>
            <rFont val="Tahoma"/>
            <family val="2"/>
          </rPr>
          <t>si report des congés</t>
        </r>
        <r>
          <rPr>
            <sz val="9"/>
            <color indexed="81"/>
            <rFont val="Tahoma"/>
            <family val="2"/>
          </rPr>
          <t xml:space="preserve">
</t>
        </r>
        <r>
          <rPr>
            <b/>
            <sz val="9"/>
            <color indexed="81"/>
            <rFont val="Tahoma"/>
            <family val="2"/>
          </rPr>
          <t>- Si la cellule O31 est active :</t>
        </r>
        <r>
          <rPr>
            <sz val="9"/>
            <color indexed="81"/>
            <rFont val="Tahoma"/>
            <family val="2"/>
          </rPr>
          <t xml:space="preserve"> 
</t>
        </r>
        <r>
          <rPr>
            <b/>
            <sz val="9"/>
            <color indexed="10"/>
            <rFont val="Tahoma"/>
            <family val="2"/>
          </rPr>
          <t xml:space="preserve">Et </t>
        </r>
        <r>
          <rPr>
            <sz val="9"/>
            <color indexed="10"/>
            <rFont val="Tahoma"/>
            <family val="2"/>
          </rPr>
          <t>en absence de report des congés ,</t>
        </r>
        <r>
          <rPr>
            <sz val="9"/>
            <color indexed="81"/>
            <rFont val="Tahoma"/>
            <family val="2"/>
          </rPr>
          <t xml:space="preserve"> La somme est égale à la cellule O27 +O31 (soit la différence de la cellule O28 moins J40/41 au titre de régularisation du plus favorable et les CP acquis et non pris)
</t>
        </r>
        <r>
          <rPr>
            <sz val="9"/>
            <color indexed="10"/>
            <rFont val="Tahoma"/>
            <family val="2"/>
          </rPr>
          <t xml:space="preserve">Avec de report des congés </t>
        </r>
        <r>
          <rPr>
            <sz val="9"/>
            <color indexed="81"/>
            <rFont val="Tahoma"/>
            <family val="2"/>
          </rPr>
          <t xml:space="preserve">, la somme est égale à la cellule O31 au titre de régularisation du plus favorable </t>
        </r>
        <r>
          <rPr>
            <sz val="10"/>
            <color indexed="81"/>
            <rFont val="Tahoma"/>
            <family val="2"/>
          </rPr>
          <t xml:space="preserve">
</t>
        </r>
      </text>
    </comment>
    <comment ref="A39" authorId="0" shapeId="0" xr:uid="{2E9500F0-1920-4244-84B8-02456C783A1B}">
      <text>
        <r>
          <rPr>
            <sz val="11"/>
            <color indexed="81"/>
            <rFont val="Tahoma"/>
            <family val="2"/>
          </rPr>
          <t>* Déduction des CP en cas d’arrêt de travail pour maladie non professionnelle au-delà de  38,4 semaines/année de référence
et Déduction des CP EXCLUSIVEMENT en cas de début ou fin de contrat en cours de mois
NOTA : VOIR ONGLET "Explication déduction CP"</t>
        </r>
      </text>
    </comment>
    <comment ref="E39" authorId="0" shapeId="0" xr:uid="{367EB420-677D-4FDC-AFCA-06075D03E10F}">
      <text>
        <r>
          <rPr>
            <sz val="11"/>
            <color indexed="81"/>
            <rFont val="Tahoma"/>
            <family val="2"/>
          </rPr>
          <t xml:space="preserve">NOTA : La saisie se fait dans l'onglet Explication déduction CP
Le contrat ANAMAAF est en conformité avec l’article 7 de la directive européenne CE 2003/88/CE du 04 novembre 2003, et la décision de la Cour de Justice Européenne  dans son arrêt du 24 Janvier 2012, - tout salarié absent en raison d’une maladie professionnelle ou non (ou en chômage partiel) a droit à un congé annuel payé d’au moins  4 semaines - c’est l’année de référence qui fixe le début et la fin – exemple un arrêt continu de 43 semaines réparti sur 2 années de référence   ne génère pas de déduction de jours de congés payés acquis
Il gère aussi la déduction de CP en cas de début ou fin de contrat en cours de mois : Suivre les indications de l'onglet Explication déduction CP à partir de la ligne 34
</t>
        </r>
      </text>
    </comment>
    <comment ref="E40" authorId="1" shapeId="0" xr:uid="{3916D8D9-77D7-46B1-ABA5-84107B6FA821}">
      <text>
        <r>
          <rPr>
            <sz val="9"/>
            <color indexed="81"/>
            <rFont val="Tahoma"/>
            <family val="2"/>
          </rPr>
          <t xml:space="preserve">Report congé feuille "calcul_cp"
</t>
        </r>
      </text>
    </comment>
    <comment ref="J40" authorId="0" shapeId="0" xr:uid="{C02CBDB9-4B2A-4782-A694-547162094ACE}">
      <text>
        <r>
          <rPr>
            <b/>
            <sz val="9"/>
            <color indexed="51"/>
            <rFont val="Tahoma"/>
            <family val="2"/>
          </rPr>
          <t>Mensualisation Congés payés inclus</t>
        </r>
        <r>
          <rPr>
            <b/>
            <sz val="9"/>
            <color indexed="81"/>
            <rFont val="Tahoma"/>
            <family val="2"/>
          </rPr>
          <t xml:space="preserve">
</t>
        </r>
        <r>
          <rPr>
            <sz val="9"/>
            <color indexed="8"/>
            <rFont val="Tahoma"/>
            <family val="2"/>
          </rPr>
          <t>Total des congés payés mensualisés et de ceux perçus ou à percevoir sur les heures complémentaires et supplémentaires</t>
        </r>
      </text>
    </comment>
    <comment ref="E42" authorId="1" shapeId="0" xr:uid="{C0FD8026-5189-4411-B7AF-7C395CE83690}">
      <text>
        <r>
          <rPr>
            <sz val="9"/>
            <color indexed="81"/>
            <rFont val="Tahoma"/>
            <family val="2"/>
          </rPr>
          <t xml:space="preserve">Jours de congés payés supplémentaires acquis si  maximum 24 jours ouvrables de congés pris* sont fractionnées en plusieurs fois (minimum obligatoire -si acquis -  12 jours ouvrables  consécutifs entre le 1er mai et le 31 octobre) :
- 2 jours de congés supplémentaires si 6 jours de congés sont pris séparément entre le 1er Novembre et le 30 Avril.
- 1 jour de congé supplémentaire si 3 à 5 jours de congés sont pris séparément entre le 1er Novembre et le 30 Avril..
* la 5ème semaine de congés payés n'entre pas dans le calcul du droit au jour de fractionnement .
</t>
        </r>
        <r>
          <rPr>
            <sz val="9"/>
            <color indexed="10"/>
            <rFont val="Tahoma"/>
            <family val="2"/>
          </rPr>
          <t xml:space="preserve">Ces jours de fractionnement </t>
        </r>
        <r>
          <rPr>
            <b/>
            <sz val="9"/>
            <color indexed="10"/>
            <rFont val="Tahoma"/>
            <family val="2"/>
          </rPr>
          <t xml:space="preserve">se cumulent en plus </t>
        </r>
        <r>
          <rPr>
            <sz val="9"/>
            <color indexed="10"/>
            <rFont val="Tahoma"/>
            <family val="2"/>
          </rPr>
          <t>du nombre de jours ce congés payés acquis.</t>
        </r>
        <r>
          <rPr>
            <sz val="9"/>
            <color indexed="81"/>
            <rFont val="Tahoma"/>
            <family val="2"/>
          </rPr>
          <t xml:space="preserve"> </t>
        </r>
      </text>
    </comment>
    <comment ref="E43" authorId="0" shapeId="0" xr:uid="{00CEE7BC-E1BD-4B44-8195-9EA8EE937C51}">
      <text>
        <r>
          <rPr>
            <sz val="9"/>
            <color indexed="81"/>
            <rFont val="Tahoma"/>
            <family val="2"/>
          </rPr>
          <t xml:space="preserve">Total jours ouvrables acquis : Congés légaux - congés mère/père de famille le cas échéant et jours de fractionnement </t>
        </r>
        <r>
          <rPr>
            <b/>
            <i/>
            <u/>
            <sz val="9"/>
            <color indexed="81"/>
            <rFont val="Tahoma"/>
            <family val="2"/>
          </rPr>
          <t xml:space="preserve">
</t>
        </r>
      </text>
    </comment>
    <comment ref="L46" authorId="2" shapeId="0" xr:uid="{C9BB0D17-F032-4161-9163-DD3BBB5B1F21}">
      <text>
        <r>
          <rPr>
            <sz val="9"/>
            <color indexed="81"/>
            <rFont val="Tahoma"/>
            <family val="2"/>
          </rPr>
          <t xml:space="preserve">Date de fin d'année de référence des congés payés fixée au contrat de travail
</t>
        </r>
        <r>
          <rPr>
            <b/>
            <sz val="9"/>
            <color indexed="81"/>
            <rFont val="Tahoma"/>
            <family val="2"/>
          </rPr>
          <t>ou</t>
        </r>
        <r>
          <rPr>
            <sz val="9"/>
            <color indexed="81"/>
            <rFont val="Tahoma"/>
            <family val="2"/>
          </rPr>
          <t xml:space="preserve"> le cas échéant de rupture du contrat.
Format 00/00/0000</t>
        </r>
      </text>
    </comment>
    <comment ref="A52" authorId="0" shapeId="0" xr:uid="{AFF78643-6DA9-4621-9BCF-4F38A3BE09D4}">
      <text>
        <r>
          <rPr>
            <b/>
            <sz val="9"/>
            <color indexed="81"/>
            <rFont val="Tahoma"/>
            <family val="2"/>
          </rPr>
          <t xml:space="preserve">Soit 2,5 jours ouvrables*/mois </t>
        </r>
        <r>
          <rPr>
            <b/>
            <u/>
            <sz val="9"/>
            <color indexed="53"/>
            <rFont val="Tahoma"/>
            <family val="2"/>
          </rPr>
          <t>quelque soit la durée effective de travail au cours du mois.</t>
        </r>
        <r>
          <rPr>
            <b/>
            <sz val="9"/>
            <color indexed="53"/>
            <rFont val="Tahoma"/>
            <family val="2"/>
          </rPr>
          <t xml:space="preserve">
</t>
        </r>
        <r>
          <rPr>
            <b/>
            <sz val="9"/>
            <color indexed="81"/>
            <rFont val="Tahoma"/>
            <family val="2"/>
          </rPr>
          <t xml:space="preserve">
</t>
        </r>
        <r>
          <rPr>
            <sz val="9"/>
            <color indexed="81"/>
            <rFont val="Tahoma"/>
            <family val="2"/>
          </rPr>
          <t>En cas de début ou de fin de contrat au cours  du mois, il convient de vérifier le nombre de périodes de 4 semaines entre le début et la fin de l'année de référence : 2,5 jours ouvrables/période de  4 semaines.</t>
        </r>
        <r>
          <rPr>
            <b/>
            <sz val="9"/>
            <color indexed="81"/>
            <rFont val="Tahoma"/>
            <family val="2"/>
          </rPr>
          <t xml:space="preserve">
12 mois ou 12 périodes de 4 semaines = 30 jours ouvrables de congés payés acquis auxquels se rajoutent le  cas échéant les jours de fractionnement.
</t>
        </r>
        <r>
          <rPr>
            <sz val="9"/>
            <color indexed="8"/>
            <rFont val="Tahoma"/>
            <family val="2"/>
          </rPr>
          <t xml:space="preserve">Le contrat de travail ANAMAAF prévoit - selon la directive européenne - l'acquisition des congés payés en arrêt maladie non professionnelle. 
Les congés payés (2,5 jours ouvrables/mois) restent acquis durant le congé maternité - l'arrêt pour accident du travail et maladie professionnelle ainsi que durant la période de prise des congés payés.
Les semaines d'absence - non travaillées - de congés sans solde prises en compte dans le calcul de la mensualistion pour une modulation annuelle du salaire (temps partiel) , n' interfèrent nullement dans l'acquisition des droits au Congé payé acquis: un salarié à temps partiel - quelque soit la durée effective - acquiert autant de jours de congés payés </t>
        </r>
        <r>
          <rPr>
            <b/>
            <sz val="9"/>
            <color indexed="8"/>
            <rFont val="Tahoma"/>
            <family val="2"/>
          </rPr>
          <t xml:space="preserve">en durée </t>
        </r>
        <r>
          <rPr>
            <sz val="9"/>
            <color indexed="8"/>
            <rFont val="Tahoma"/>
            <family val="2"/>
          </rPr>
          <t>qu'un salarié à temps plein. Seul le montant de la rémunération  de ces congés payés  est proportionnel au salaire versé pour le temps de travail prévu par le contrat.</t>
        </r>
        <r>
          <rPr>
            <b/>
            <sz val="9"/>
            <color indexed="81"/>
            <rFont val="Tahoma"/>
            <family val="2"/>
          </rPr>
          <t xml:space="preserve">
* Jours ouvrables = tous les jours de la semaine à l'exception du Dimanche et des jours fériés</t>
        </r>
      </text>
    </comment>
    <comment ref="I52" authorId="0" shapeId="0" xr:uid="{178B817B-BCA4-4877-B146-5B10E8A0B3C0}">
      <text>
        <r>
          <rPr>
            <b/>
            <sz val="9"/>
            <color indexed="57"/>
            <rFont val="Tahoma"/>
            <family val="2"/>
          </rPr>
          <t xml:space="preserve">Mensualisation </t>
        </r>
        <r>
          <rPr>
            <b/>
            <u/>
            <sz val="9"/>
            <color indexed="57"/>
            <rFont val="Tahoma"/>
            <family val="2"/>
          </rPr>
          <t>Congés payés Non Inclus</t>
        </r>
        <r>
          <rPr>
            <b/>
            <sz val="9"/>
            <color indexed="57"/>
            <rFont val="Tahoma"/>
            <family val="2"/>
          </rPr>
          <t>:</t>
        </r>
        <r>
          <rPr>
            <b/>
            <sz val="9"/>
            <color indexed="81"/>
            <rFont val="Tahoma"/>
            <family val="2"/>
          </rPr>
          <t xml:space="preserve">
</t>
        </r>
        <r>
          <rPr>
            <sz val="9"/>
            <color indexed="8"/>
            <rFont val="Tahoma"/>
            <family val="2"/>
          </rPr>
          <t>Indiquer le salaire mensualisé -</t>
        </r>
        <r>
          <rPr>
            <b/>
            <sz val="9"/>
            <color indexed="10"/>
            <rFont val="Tahoma"/>
            <family val="2"/>
          </rPr>
          <t xml:space="preserve"> Sans les heures compl ou suppl </t>
        </r>
        <r>
          <rPr>
            <sz val="9"/>
            <color indexed="8"/>
            <rFont val="Tahoma"/>
            <family val="2"/>
          </rPr>
          <t xml:space="preserve">- minoré le cas échéant en cas d'absence 
</t>
        </r>
        <r>
          <rPr>
            <b/>
            <sz val="9"/>
            <color indexed="8"/>
            <rFont val="Tahoma"/>
            <family val="2"/>
          </rPr>
          <t xml:space="preserve">
</t>
        </r>
        <r>
          <rPr>
            <b/>
            <sz val="9"/>
            <color indexed="52"/>
            <rFont val="Tahoma"/>
            <family val="2"/>
          </rPr>
          <t xml:space="preserve">Mensualisation </t>
        </r>
        <r>
          <rPr>
            <b/>
            <u/>
            <sz val="9"/>
            <color indexed="52"/>
            <rFont val="Tahoma"/>
            <family val="2"/>
          </rPr>
          <t xml:space="preserve">Congés Payés Inclus </t>
        </r>
        <r>
          <rPr>
            <b/>
            <sz val="9"/>
            <color indexed="52"/>
            <rFont val="Tahoma"/>
            <family val="2"/>
          </rPr>
          <t>:</t>
        </r>
        <r>
          <rPr>
            <b/>
            <sz val="9"/>
            <color indexed="8"/>
            <rFont val="Tahoma"/>
            <family val="2"/>
          </rPr>
          <t xml:space="preserve">
</t>
        </r>
        <r>
          <rPr>
            <sz val="9"/>
            <color indexed="8"/>
            <rFont val="Tahoma"/>
            <family val="2"/>
          </rPr>
          <t>Indiquer le salaire mensualisé -</t>
        </r>
        <r>
          <rPr>
            <b/>
            <sz val="9"/>
            <color indexed="10"/>
            <rFont val="Tahoma"/>
            <family val="2"/>
          </rPr>
          <t xml:space="preserve"> Sans les heures compl ou supp</t>
        </r>
        <r>
          <rPr>
            <sz val="9"/>
            <color indexed="8"/>
            <rFont val="Tahoma"/>
            <family val="2"/>
          </rPr>
          <t xml:space="preserve"> - lminoré le cas échéant en cas d'absence</t>
        </r>
      </text>
    </comment>
    <comment ref="J52" authorId="1" shapeId="0" xr:uid="{3266F344-3A6A-4242-9CE3-401FFA276FBD}">
      <text>
        <r>
          <rPr>
            <b/>
            <sz val="9"/>
            <color indexed="52"/>
            <rFont val="Tahoma"/>
            <family val="2"/>
          </rPr>
          <t xml:space="preserve">Mensualisation </t>
        </r>
        <r>
          <rPr>
            <b/>
            <u/>
            <sz val="9"/>
            <color indexed="52"/>
            <rFont val="Tahoma"/>
            <family val="2"/>
          </rPr>
          <t>Congés Payés Inclus</t>
        </r>
        <r>
          <rPr>
            <sz val="9"/>
            <color indexed="81"/>
            <rFont val="Tahoma"/>
            <family val="2"/>
          </rPr>
          <t xml:space="preserve"> : Montant mensuel correspondant aux  CP </t>
        </r>
        <r>
          <rPr>
            <b/>
            <u/>
            <sz val="9"/>
            <color indexed="81"/>
            <rFont val="Tahoma"/>
            <family val="2"/>
          </rPr>
          <t>inclus dans le salaire</t>
        </r>
        <r>
          <rPr>
            <sz val="9"/>
            <color indexed="81"/>
            <rFont val="Tahoma"/>
            <family val="2"/>
          </rPr>
          <t xml:space="preserve">  </t>
        </r>
        <r>
          <rPr>
            <b/>
            <u/>
            <sz val="9"/>
            <color indexed="10"/>
            <rFont val="Tahoma"/>
            <family val="2"/>
          </rPr>
          <t>HORMIS CP</t>
        </r>
        <r>
          <rPr>
            <sz val="9"/>
            <color indexed="10"/>
            <rFont val="Tahoma"/>
            <family val="2"/>
          </rPr>
          <t xml:space="preserve"> Heures complémentaires et supplémentaires</t>
        </r>
        <r>
          <rPr>
            <sz val="9"/>
            <color indexed="81"/>
            <rFont val="Tahoma"/>
            <family val="2"/>
          </rPr>
          <t xml:space="preserve">
</t>
        </r>
        <r>
          <rPr>
            <b/>
            <sz val="9"/>
            <color indexed="57"/>
            <rFont val="Tahoma"/>
            <family val="2"/>
          </rPr>
          <t xml:space="preserve">Mensualisation </t>
        </r>
        <r>
          <rPr>
            <b/>
            <u/>
            <sz val="9"/>
            <color indexed="57"/>
            <rFont val="Tahoma"/>
            <family val="2"/>
          </rPr>
          <t>Congés payés Non Inclus</t>
        </r>
        <r>
          <rPr>
            <sz val="9"/>
            <color indexed="81"/>
            <rFont val="Tahoma"/>
            <family val="2"/>
          </rPr>
          <t>:
Montant mensuel à</t>
        </r>
        <r>
          <rPr>
            <b/>
            <u/>
            <sz val="9"/>
            <color indexed="81"/>
            <rFont val="Tahoma"/>
            <family val="2"/>
          </rPr>
          <t xml:space="preserve"> verser en plus du salaire</t>
        </r>
        <r>
          <rPr>
            <sz val="9"/>
            <color indexed="81"/>
            <rFont val="Tahoma"/>
            <family val="2"/>
          </rPr>
          <t xml:space="preserve"> correspondant aux </t>
        </r>
        <r>
          <rPr>
            <b/>
            <sz val="9"/>
            <color indexed="81"/>
            <rFont val="Tahoma"/>
            <family val="2"/>
          </rPr>
          <t>11%</t>
        </r>
        <r>
          <rPr>
            <sz val="9"/>
            <color indexed="81"/>
            <rFont val="Tahoma"/>
            <family val="2"/>
          </rPr>
          <t xml:space="preserve"> de CP </t>
        </r>
        <r>
          <rPr>
            <b/>
            <u/>
            <sz val="9"/>
            <color indexed="81"/>
            <rFont val="Tahoma"/>
            <family val="2"/>
          </rPr>
          <t xml:space="preserve">sur le salaire mensuel de base càd   </t>
        </r>
        <r>
          <rPr>
            <b/>
            <u/>
            <sz val="9"/>
            <color indexed="10"/>
            <rFont val="Tahoma"/>
            <family val="2"/>
          </rPr>
          <t>HORMIS CP</t>
        </r>
        <r>
          <rPr>
            <b/>
            <u/>
            <sz val="9"/>
            <color indexed="81"/>
            <rFont val="Tahoma"/>
            <family val="2"/>
          </rPr>
          <t xml:space="preserve"> Heures complémentaires et supplémentaires</t>
        </r>
      </text>
    </comment>
    <comment ref="K52" authorId="3" shapeId="0" xr:uid="{E754DF99-CCB4-4854-BB6F-775594A97822}">
      <text>
        <r>
          <rPr>
            <b/>
            <sz val="9"/>
            <color indexed="53"/>
            <rFont val="Tahoma"/>
            <family val="2"/>
          </rPr>
          <t xml:space="preserve">Mensualisation </t>
        </r>
        <r>
          <rPr>
            <b/>
            <u/>
            <sz val="9"/>
            <color indexed="53"/>
            <rFont val="Tahoma"/>
            <family val="2"/>
          </rPr>
          <t>Congés Payés Inclus</t>
        </r>
        <r>
          <rPr>
            <b/>
            <sz val="9"/>
            <color indexed="81"/>
            <rFont val="Tahoma"/>
            <family val="2"/>
          </rPr>
          <t xml:space="preserve"> : 
</t>
        </r>
        <r>
          <rPr>
            <b/>
            <u/>
            <sz val="9"/>
            <color indexed="10"/>
            <rFont val="Tahoma"/>
            <family val="2"/>
          </rPr>
          <t>Indiquer séparément</t>
        </r>
        <r>
          <rPr>
            <sz val="9"/>
            <color indexed="81"/>
            <rFont val="Tahoma"/>
            <family val="2"/>
          </rPr>
          <t xml:space="preserve"> les salaires correspondant aux  Heures complémentaires et supplémentaires et </t>
        </r>
        <r>
          <rPr>
            <b/>
            <u/>
            <sz val="9"/>
            <color indexed="10"/>
            <rFont val="Tahoma"/>
            <family val="2"/>
          </rPr>
          <t xml:space="preserve">verse en plus du salaire de base </t>
        </r>
        <r>
          <rPr>
            <sz val="9"/>
            <color indexed="81"/>
            <rFont val="Tahoma"/>
            <family val="2"/>
          </rPr>
          <t>pour prendre en compte l exnération des cotisations et la défiscalisation sur le bulletin de salaire</t>
        </r>
        <r>
          <rPr>
            <b/>
            <sz val="9"/>
            <color indexed="81"/>
            <rFont val="Tahoma"/>
            <family val="2"/>
          </rPr>
          <t xml:space="preserve">
</t>
        </r>
        <r>
          <rPr>
            <b/>
            <sz val="9"/>
            <color indexed="17"/>
            <rFont val="Tahoma"/>
            <family val="2"/>
          </rPr>
          <t xml:space="preserve">Mensualisation </t>
        </r>
        <r>
          <rPr>
            <b/>
            <u/>
            <sz val="9"/>
            <color indexed="17"/>
            <rFont val="Tahoma"/>
            <family val="2"/>
          </rPr>
          <t>Congés payés Non Inclus</t>
        </r>
        <r>
          <rPr>
            <b/>
            <sz val="9"/>
            <color indexed="17"/>
            <rFont val="Tahoma"/>
            <family val="2"/>
          </rPr>
          <t>:</t>
        </r>
        <r>
          <rPr>
            <b/>
            <sz val="9"/>
            <color indexed="81"/>
            <rFont val="Tahoma"/>
            <family val="2"/>
          </rPr>
          <t xml:space="preserve">
</t>
        </r>
        <r>
          <rPr>
            <b/>
            <u/>
            <sz val="9"/>
            <color indexed="10"/>
            <rFont val="Tahoma"/>
            <family val="2"/>
          </rPr>
          <t xml:space="preserve">Indiquer séparément </t>
        </r>
        <r>
          <rPr>
            <sz val="9"/>
            <color indexed="81"/>
            <rFont val="Tahoma"/>
            <family val="2"/>
          </rPr>
          <t>les salaires correspondant aux  Heures complémentaires et supplémentaires pour prendre en compte l exnération des cotisations et la défiscalisation sur le bulletin de salaire</t>
        </r>
      </text>
    </comment>
    <comment ref="L52" authorId="1" shapeId="0" xr:uid="{3E42F9D4-8DCD-4728-8512-22712AA1BA23}">
      <text>
        <r>
          <rPr>
            <b/>
            <sz val="9"/>
            <color indexed="53"/>
            <rFont val="Tahoma"/>
            <family val="2"/>
          </rPr>
          <t xml:space="preserve">Mensualisation </t>
        </r>
        <r>
          <rPr>
            <b/>
            <u/>
            <sz val="9"/>
            <color indexed="53"/>
            <rFont val="Tahoma"/>
            <family val="2"/>
          </rPr>
          <t xml:space="preserve">Congés Payés Inclus </t>
        </r>
        <r>
          <rPr>
            <b/>
            <sz val="9"/>
            <color indexed="57"/>
            <rFont val="Tahoma"/>
            <family val="2"/>
          </rPr>
          <t xml:space="preserve">: 
</t>
        </r>
        <r>
          <rPr>
            <sz val="9"/>
            <color indexed="81"/>
            <rFont val="Tahoma"/>
            <family val="2"/>
          </rPr>
          <t xml:space="preserve">Montant mensuel correspondant aux  11% de CP  sur les Heures complémentaires et supplémentaires </t>
        </r>
        <r>
          <rPr>
            <b/>
            <sz val="9"/>
            <color indexed="53"/>
            <rFont val="Tahoma"/>
            <family val="2"/>
          </rPr>
          <t>à verser en plus du salaire mensualisé de base</t>
        </r>
        <r>
          <rPr>
            <b/>
            <sz val="9"/>
            <color indexed="57"/>
            <rFont val="Tahoma"/>
            <family val="2"/>
          </rPr>
          <t xml:space="preserve">
Mensualisation </t>
        </r>
        <r>
          <rPr>
            <b/>
            <u/>
            <sz val="9"/>
            <color indexed="57"/>
            <rFont val="Tahoma"/>
            <family val="2"/>
          </rPr>
          <t>Congés payés Non Inclus:</t>
        </r>
        <r>
          <rPr>
            <b/>
            <sz val="9"/>
            <color indexed="57"/>
            <rFont val="Tahoma"/>
            <family val="2"/>
          </rPr>
          <t xml:space="preserve">
</t>
        </r>
        <r>
          <rPr>
            <sz val="9"/>
            <color indexed="81"/>
            <rFont val="Tahoma"/>
            <family val="2"/>
          </rPr>
          <t>Montant mensuel</t>
        </r>
        <r>
          <rPr>
            <b/>
            <sz val="9"/>
            <color indexed="57"/>
            <rFont val="Tahoma"/>
            <family val="2"/>
          </rPr>
          <t xml:space="preserve"> </t>
        </r>
        <r>
          <rPr>
            <b/>
            <sz val="9"/>
            <color indexed="10"/>
            <rFont val="Tahoma"/>
            <family val="2"/>
          </rPr>
          <t>à verser en plus du salaire</t>
        </r>
        <r>
          <rPr>
            <sz val="9"/>
            <color indexed="81"/>
            <rFont val="Tahoma"/>
            <family val="2"/>
          </rPr>
          <t xml:space="preserve"> correspondant aux 11% de CP  Heures complémentaires et supplémentaires</t>
        </r>
        <r>
          <rPr>
            <b/>
            <sz val="9"/>
            <color indexed="57"/>
            <rFont val="Tahoma"/>
            <family val="2"/>
          </rPr>
          <t xml:space="preserve">
</t>
        </r>
      </text>
    </comment>
    <comment ref="M52" authorId="0" shapeId="0" xr:uid="{8787390C-8E30-48EB-8CFD-7A625B440C1E}">
      <text>
        <r>
          <rPr>
            <b/>
            <sz val="9"/>
            <color indexed="52"/>
            <rFont val="Tahoma"/>
            <family val="2"/>
          </rPr>
          <t xml:space="preserve">Mensualisation </t>
        </r>
        <r>
          <rPr>
            <b/>
            <u/>
            <sz val="9"/>
            <color indexed="52"/>
            <rFont val="Tahoma"/>
            <family val="2"/>
          </rPr>
          <t>Congés Payés Inclus</t>
        </r>
        <r>
          <rPr>
            <b/>
            <sz val="9"/>
            <color indexed="52"/>
            <rFont val="Tahoma"/>
            <family val="2"/>
          </rPr>
          <t xml:space="preserve"> </t>
        </r>
        <r>
          <rPr>
            <b/>
            <sz val="9"/>
            <color indexed="51"/>
            <rFont val="Tahoma"/>
            <family val="2"/>
          </rPr>
          <t xml:space="preserve">: </t>
        </r>
        <r>
          <rPr>
            <sz val="9"/>
            <color indexed="81"/>
            <rFont val="Tahoma"/>
            <family val="2"/>
          </rPr>
          <t>11% CP Heures complémentaires et supplémentaires</t>
        </r>
        <r>
          <rPr>
            <b/>
            <sz val="9"/>
            <color indexed="81"/>
            <rFont val="Tahoma"/>
            <family val="2"/>
          </rPr>
          <t xml:space="preserve">
</t>
        </r>
        <r>
          <rPr>
            <b/>
            <sz val="9"/>
            <color indexed="57"/>
            <rFont val="Tahoma"/>
            <family val="2"/>
          </rPr>
          <t xml:space="preserve">Mensualisation </t>
        </r>
        <r>
          <rPr>
            <b/>
            <u/>
            <sz val="9"/>
            <color indexed="57"/>
            <rFont val="Tahoma"/>
            <family val="2"/>
          </rPr>
          <t>Congés payés Non Inclus</t>
        </r>
        <r>
          <rPr>
            <b/>
            <sz val="9"/>
            <color indexed="57"/>
            <rFont val="Tahoma"/>
            <family val="2"/>
          </rPr>
          <t>:</t>
        </r>
        <r>
          <rPr>
            <sz val="9"/>
            <color indexed="8"/>
            <rFont val="Tahoma"/>
            <family val="2"/>
          </rPr>
          <t xml:space="preserve">
Autre Formule de calcul intégrant mensuellement les 10% de CP dus sur le salaire de base et sur les H Compl et suppl et  </t>
        </r>
        <r>
          <rPr>
            <b/>
            <sz val="9"/>
            <color indexed="10"/>
            <rFont val="Tahoma"/>
            <family val="2"/>
          </rPr>
          <t>en fin d'année de référence seulement</t>
        </r>
        <r>
          <rPr>
            <sz val="9"/>
            <color indexed="8"/>
            <rFont val="Tahoma"/>
            <family val="2"/>
          </rPr>
          <t xml:space="preserve"> les 10% dus sur les  CP ( = montant équivalent cellule J 41)</t>
        </r>
      </text>
    </comment>
    <comment ref="O54" authorId="4" shapeId="0" xr:uid="{B1CA9A57-04F5-4ECF-830F-819E43B457B4}">
      <text>
        <r>
          <rPr>
            <sz val="9"/>
            <color indexed="8"/>
            <rFont val="Tahoma"/>
            <family val="2"/>
          </rPr>
          <t xml:space="preserve">Saisir le montant de la </t>
        </r>
        <r>
          <rPr>
            <u/>
            <sz val="9"/>
            <color indexed="8"/>
            <rFont val="Tahoma"/>
            <family val="2"/>
          </rPr>
          <t>mensualisation BRUT de base*</t>
        </r>
        <r>
          <rPr>
            <sz val="9"/>
            <color indexed="8"/>
            <rFont val="Tahoma"/>
            <family val="2"/>
          </rPr>
          <t xml:space="preserve"> en cours au moment de la prise des congés principaux  - Vérifier à la fin de l'année de référence et au moment de la rupture du contrat
*Les régularisations au titre d'heures complémentaires ou supplémentaires ainsi que les absences non rémunérées sont saisies dans la colonne J ou L</t>
        </r>
      </text>
    </comment>
    <comment ref="O56" authorId="0" shapeId="0" xr:uid="{46256136-723D-4E61-97FF-8F54B0E520B7}">
      <text>
        <r>
          <rPr>
            <sz val="9"/>
            <color indexed="81"/>
            <rFont val="Tahoma"/>
            <family val="2"/>
          </rPr>
          <t xml:space="preserve">Si </t>
        </r>
        <r>
          <rPr>
            <b/>
            <sz val="9"/>
            <color indexed="10"/>
            <rFont val="Tahoma"/>
            <family val="2"/>
          </rPr>
          <t>montant négatif</t>
        </r>
        <r>
          <rPr>
            <b/>
            <sz val="9"/>
            <color indexed="81"/>
            <rFont val="Tahoma"/>
            <family val="2"/>
          </rPr>
          <t xml:space="preserve"> </t>
        </r>
        <r>
          <rPr>
            <sz val="9"/>
            <color indexed="81"/>
            <rFont val="Tahoma"/>
            <family val="2"/>
          </rPr>
          <t xml:space="preserve">
 congés payés </t>
        </r>
        <r>
          <rPr>
            <sz val="9"/>
            <color indexed="10"/>
            <rFont val="Tahoma"/>
            <family val="2"/>
          </rPr>
          <t>non acquis &amp; pris par anticipation</t>
        </r>
        <r>
          <rPr>
            <sz val="9"/>
            <color indexed="81"/>
            <rFont val="Tahoma"/>
            <family val="2"/>
          </rPr>
          <t xml:space="preserve"> au moment de  la rupture du contrat ou en fin d'année référence génèrant le remboursement  du trop perçu à l'employeur </t>
        </r>
      </text>
    </comment>
    <comment ref="O60" authorId="0" shapeId="0" xr:uid="{97EE4BFA-284F-46C6-ACA1-82FE31FB2B83}">
      <text>
        <r>
          <rPr>
            <b/>
            <sz val="9"/>
            <color indexed="10"/>
            <rFont val="Tahoma"/>
            <family val="2"/>
          </rPr>
          <t>Régularisation à effectuer</t>
        </r>
        <r>
          <rPr>
            <b/>
            <sz val="9"/>
            <color indexed="81"/>
            <rFont val="Tahoma"/>
            <family val="2"/>
          </rPr>
          <t xml:space="preserve"> </t>
        </r>
        <r>
          <rPr>
            <sz val="9"/>
            <color indexed="81"/>
            <rFont val="Tahoma"/>
            <family val="2"/>
          </rPr>
          <t xml:space="preserve">
Si le montant est négatif rien ne s'inscrit </t>
        </r>
      </text>
    </comment>
    <comment ref="O61" authorId="0" shapeId="0" xr:uid="{21CED0A2-876F-4D72-A609-A84DE99B92D7}">
      <text>
        <r>
          <rPr>
            <sz val="9"/>
            <color indexed="81"/>
            <rFont val="Tahoma"/>
            <family val="2"/>
          </rPr>
          <t xml:space="preserve">
</t>
        </r>
        <r>
          <rPr>
            <b/>
            <sz val="9"/>
            <color indexed="81"/>
            <rFont val="Tahoma"/>
            <family val="2"/>
          </rPr>
          <t xml:space="preserve">Méthode du 10ème </t>
        </r>
        <r>
          <rPr>
            <sz val="9"/>
            <color indexed="81"/>
            <rFont val="Tahoma"/>
            <family val="2"/>
          </rPr>
          <t xml:space="preserve">
</t>
        </r>
      </text>
    </comment>
    <comment ref="O62" authorId="0" shapeId="0" xr:uid="{E657FB0C-4746-4E25-B69D-72DC6515E04F}">
      <text>
        <r>
          <rPr>
            <sz val="9"/>
            <color indexed="81"/>
            <rFont val="Tahoma"/>
            <family val="2"/>
          </rPr>
          <t>Si cette période est une</t>
        </r>
        <r>
          <rPr>
            <b/>
            <sz val="9"/>
            <color indexed="81"/>
            <rFont val="Tahoma"/>
            <family val="2"/>
          </rPr>
          <t xml:space="preserve"> fin de contrat -</t>
        </r>
        <r>
          <rPr>
            <b/>
            <sz val="9"/>
            <color indexed="10"/>
            <rFont val="Tahoma"/>
            <family val="2"/>
          </rPr>
          <t xml:space="preserve"> cellule G51 cochée "OUI" - </t>
        </r>
        <r>
          <rPr>
            <sz val="9"/>
            <color indexed="81"/>
            <rFont val="Tahoma"/>
            <family val="2"/>
          </rPr>
          <t xml:space="preserve">la </t>
        </r>
        <r>
          <rPr>
            <b/>
            <sz val="9"/>
            <color indexed="81"/>
            <rFont val="Tahoma"/>
            <family val="2"/>
          </rPr>
          <t>cellule O62</t>
        </r>
        <r>
          <rPr>
            <sz val="9"/>
            <color indexed="81"/>
            <rFont val="Tahoma"/>
            <family val="2"/>
          </rPr>
          <t xml:space="preserve"> doit être </t>
        </r>
        <r>
          <rPr>
            <b/>
            <sz val="9"/>
            <color indexed="81"/>
            <rFont val="Tahoma"/>
            <family val="2"/>
          </rPr>
          <t>cochée "NON"</t>
        </r>
      </text>
    </comment>
    <comment ref="N66" authorId="0" shapeId="0" xr:uid="{099A14AD-2BD9-427F-87C2-D8FFC17715CB}">
      <text>
        <r>
          <rPr>
            <sz val="9"/>
            <color indexed="81"/>
            <rFont val="Tahoma"/>
            <family val="2"/>
          </rPr>
          <t xml:space="preserve">Les congés payés </t>
        </r>
        <r>
          <rPr>
            <sz val="9"/>
            <color indexed="10"/>
            <rFont val="Tahoma"/>
            <family val="2"/>
          </rPr>
          <t xml:space="preserve">acquis &amp; </t>
        </r>
        <r>
          <rPr>
            <b/>
            <sz val="9"/>
            <color indexed="10"/>
            <rFont val="Tahoma"/>
            <family val="2"/>
          </rPr>
          <t>non pris</t>
        </r>
        <r>
          <rPr>
            <sz val="9"/>
            <color indexed="81"/>
            <rFont val="Tahoma"/>
            <family val="2"/>
          </rPr>
          <t xml:space="preserve"> au moment de  la rupture du contrat ou non reportés en fin d'année référence génèrent le versement  d' une indemnité compensatrice au salarié.
A contrario les congés payés</t>
        </r>
        <r>
          <rPr>
            <sz val="9"/>
            <color indexed="10"/>
            <rFont val="Tahoma"/>
            <family val="2"/>
          </rPr>
          <t xml:space="preserve"> non acquis &amp; pris par anticipation</t>
        </r>
        <r>
          <rPr>
            <sz val="9"/>
            <color indexed="81"/>
            <rFont val="Tahoma"/>
            <family val="2"/>
          </rPr>
          <t xml:space="preserve"> au moment de  la rupture du contrat ou non déduits de l'année référence suivante génèrent le remboursement  du trop perçu à l'employeur (Cf cellule O56 si négatif).Cependant la régularisation au titre de la méthode la plus favorable reste due.</t>
        </r>
        <r>
          <rPr>
            <sz val="11"/>
            <color indexed="81"/>
            <rFont val="Tahoma"/>
            <family val="2"/>
          </rPr>
          <t xml:space="preserve">
</t>
        </r>
      </text>
    </comment>
    <comment ref="O66" authorId="0" shapeId="0" xr:uid="{4F0904F6-D94D-4A29-B44D-581907230AE0}">
      <text>
        <r>
          <rPr>
            <sz val="9"/>
            <color indexed="81"/>
            <rFont val="Tahoma"/>
            <family val="2"/>
          </rPr>
          <t xml:space="preserve">Soit :
- </t>
        </r>
        <r>
          <rPr>
            <b/>
            <sz val="9"/>
            <color indexed="81"/>
            <rFont val="Tahoma"/>
            <family val="2"/>
          </rPr>
          <t>Si la cellule O60 est inactive :</t>
        </r>
        <r>
          <rPr>
            <sz val="9"/>
            <color indexed="81"/>
            <rFont val="Tahoma"/>
            <family val="2"/>
          </rPr>
          <t xml:space="preserve">
La somme est égale à la cellule O56 </t>
        </r>
        <r>
          <rPr>
            <sz val="9"/>
            <color indexed="10"/>
            <rFont val="Tahoma"/>
            <family val="2"/>
          </rPr>
          <t>en absence de report des congés</t>
        </r>
        <r>
          <rPr>
            <sz val="9"/>
            <color indexed="81"/>
            <rFont val="Tahoma"/>
            <family val="2"/>
          </rPr>
          <t xml:space="preserve">
La somme nulle </t>
        </r>
        <r>
          <rPr>
            <sz val="9"/>
            <color indexed="10"/>
            <rFont val="Tahoma"/>
            <family val="2"/>
          </rPr>
          <t>si report des congés</t>
        </r>
        <r>
          <rPr>
            <sz val="9"/>
            <color indexed="81"/>
            <rFont val="Tahoma"/>
            <family val="2"/>
          </rPr>
          <t xml:space="preserve">
</t>
        </r>
        <r>
          <rPr>
            <b/>
            <sz val="9"/>
            <color indexed="81"/>
            <rFont val="Tahoma"/>
            <family val="2"/>
          </rPr>
          <t>- Si la cellule O60 est active :</t>
        </r>
        <r>
          <rPr>
            <sz val="9"/>
            <color indexed="81"/>
            <rFont val="Tahoma"/>
            <family val="2"/>
          </rPr>
          <t xml:space="preserve"> 
</t>
        </r>
        <r>
          <rPr>
            <b/>
            <sz val="9"/>
            <color indexed="10"/>
            <rFont val="Tahoma"/>
            <family val="2"/>
          </rPr>
          <t xml:space="preserve">Et </t>
        </r>
        <r>
          <rPr>
            <sz val="9"/>
            <color indexed="10"/>
            <rFont val="Tahoma"/>
            <family val="2"/>
          </rPr>
          <t>en absence de report des congés ,</t>
        </r>
        <r>
          <rPr>
            <sz val="9"/>
            <color indexed="81"/>
            <rFont val="Tahoma"/>
            <family val="2"/>
          </rPr>
          <t xml:space="preserve"> La somme est égale à la cellule O56 +O60 (soit la différence de la cellule O57 moins J69/70 au titre de régularisation du plus favorable et les CP acquis et non pris)
</t>
        </r>
        <r>
          <rPr>
            <sz val="9"/>
            <color indexed="10"/>
            <rFont val="Tahoma"/>
            <family val="2"/>
          </rPr>
          <t xml:space="preserve">Avec de report des congés </t>
        </r>
        <r>
          <rPr>
            <sz val="9"/>
            <color indexed="81"/>
            <rFont val="Tahoma"/>
            <family val="2"/>
          </rPr>
          <t xml:space="preserve">, la somme est égale à la cellule O60 au titre de régularisation du plus favorable 
</t>
        </r>
        <r>
          <rPr>
            <sz val="10"/>
            <color indexed="81"/>
            <rFont val="Tahoma"/>
            <family val="2"/>
          </rPr>
          <t xml:space="preserve">
</t>
        </r>
      </text>
    </comment>
    <comment ref="A68" authorId="0" shapeId="0" xr:uid="{118545D9-AAC2-445D-AF12-E73AEDF295FE}">
      <text>
        <r>
          <rPr>
            <sz val="11"/>
            <color indexed="81"/>
            <rFont val="Tahoma"/>
            <family val="2"/>
          </rPr>
          <t>* Déduction des CP en cas d’arrêt de travail pour maladie non professionnelle au-delà de  38,4 semaines/année de référence
et Déduction des CP EXCLUSIVEMENT en cas de début ou fin de contrat en cours de mois
NOTA : VOIR ONGLET "Explication déduction CP"</t>
        </r>
      </text>
    </comment>
    <comment ref="E68" authorId="0" shapeId="0" xr:uid="{6B0D12B4-D150-40B6-856A-30D84E2A13F9}">
      <text>
        <r>
          <rPr>
            <sz val="11"/>
            <color indexed="81"/>
            <rFont val="Tahoma"/>
            <family val="2"/>
          </rPr>
          <t xml:space="preserve">NOTA : La saisie se fait dans l'onglet Explication déduction CP
Le contrat ANAMAAF est en conformité avec l’article 7 de la directive européenne CE 2003/88/CE du 04 novembre 2003, et la décision de la Cour de Justice Européenne  dans son arrêt du 24 Janvier 2012, - tout salarié absent en raison d’une maladie professionnelle ou non (ou en chômage partiel) a droit à un congé annuel payé d’au moins  4 semaines - c’est l’année de référence qui fixe le début et la fin – exemple un arrêt continu de 43 semaines réparti sur 2 années de référence   ne génère pas de déduction de jours de congés payés acquis
Il gère aussi la déduction de CP en cas de début ou fin de contrat en cours de mois : Suivre les indications de l'onglet Explication déduction CP à partir de la ligne 34
</t>
        </r>
      </text>
    </comment>
    <comment ref="E69" authorId="1" shapeId="0" xr:uid="{33D1BB91-9609-4F2B-A362-91DAAB36A843}">
      <text>
        <r>
          <rPr>
            <sz val="9"/>
            <color indexed="81"/>
            <rFont val="Tahoma"/>
            <family val="2"/>
          </rPr>
          <t xml:space="preserve">Les </t>
        </r>
        <r>
          <rPr>
            <b/>
            <sz val="9"/>
            <color indexed="81"/>
            <rFont val="Tahoma"/>
            <family val="2"/>
          </rPr>
          <t>congés payés</t>
        </r>
        <r>
          <rPr>
            <sz val="9"/>
            <color indexed="81"/>
            <rFont val="Tahoma"/>
            <family val="2"/>
          </rPr>
          <t xml:space="preserve"> se  prennent en </t>
        </r>
        <r>
          <rPr>
            <b/>
            <sz val="9"/>
            <color indexed="81"/>
            <rFont val="Tahoma"/>
            <family val="2"/>
          </rPr>
          <t>jour entier</t>
        </r>
        <r>
          <rPr>
            <sz val="9"/>
            <color indexed="81"/>
            <rFont val="Tahoma"/>
            <family val="2"/>
          </rPr>
          <t xml:space="preserve"> et sont </t>
        </r>
        <r>
          <rPr>
            <b/>
            <sz val="9"/>
            <color indexed="81"/>
            <rFont val="Tahoma"/>
            <family val="2"/>
          </rPr>
          <t>non fractionnables.</t>
        </r>
        <r>
          <rPr>
            <sz val="9"/>
            <color indexed="81"/>
            <rFont val="Tahoma"/>
            <family val="2"/>
          </rPr>
          <t xml:space="preserve">
</t>
        </r>
      </text>
    </comment>
    <comment ref="J69" authorId="1" shapeId="0" xr:uid="{7A661EEF-EEC0-4425-AD81-C587CF206DE3}">
      <text>
        <r>
          <rPr>
            <b/>
            <sz val="9"/>
            <color indexed="51"/>
            <rFont val="Tahoma"/>
            <family val="2"/>
          </rPr>
          <t>Mensualisation Congés payés inclus</t>
        </r>
        <r>
          <rPr>
            <sz val="9"/>
            <color indexed="81"/>
            <rFont val="Tahoma"/>
            <family val="2"/>
          </rPr>
          <t xml:space="preserve">
Total des congés payés mensualisés et de ceux perçus ou à percevoir sur les heures complémentaires et supplémentaires</t>
        </r>
      </text>
    </comment>
    <comment ref="E71" authorId="1" shapeId="0" xr:uid="{F7465F66-5206-4672-A3C5-E78F21E815FD}">
      <text>
        <r>
          <rPr>
            <sz val="9"/>
            <color indexed="81"/>
            <rFont val="Tahoma"/>
            <family val="2"/>
          </rPr>
          <t xml:space="preserve">Jours de congés payés supplémenatires acquis si  maximum 24 jours ouvrables de congés pris* sont fractionnées en plusieurs fois (minimum obligatoire -si acquis -  12 jours ouvrables  consécutifs entre le 1er mai et le 31 octobre) :
- 2 jours de congés supplémentaires si 6 jours de congés sont pris séparément entre le 1er Novembre et le 30 Avril.
- 1 jour de congé supplémentaire si 3 à 5 jours de congés sont pris séparément entre le 1er Novembre et le 30 Avril..
* la 5ème semaine de congés payés n'entre pas dans le calcul du droit au jour de farctionnement .
</t>
        </r>
        <r>
          <rPr>
            <sz val="9"/>
            <color indexed="10"/>
            <rFont val="Tahoma"/>
            <family val="2"/>
          </rPr>
          <t xml:space="preserve">Ces jours de fractionnement </t>
        </r>
        <r>
          <rPr>
            <b/>
            <sz val="9"/>
            <color indexed="10"/>
            <rFont val="Tahoma"/>
            <family val="2"/>
          </rPr>
          <t>se cumulent en plus</t>
        </r>
        <r>
          <rPr>
            <sz val="9"/>
            <color indexed="10"/>
            <rFont val="Tahoma"/>
            <family val="2"/>
          </rPr>
          <t xml:space="preserve"> du nombre de jours ce congés payés acquis. </t>
        </r>
      </text>
    </comment>
    <comment ref="E72" authorId="0" shapeId="0" xr:uid="{8622BE7F-10B5-4871-90B8-B83AAFC76355}">
      <text>
        <r>
          <rPr>
            <sz val="9"/>
            <color indexed="81"/>
            <rFont val="Tahoma"/>
            <family val="2"/>
          </rPr>
          <t xml:space="preserve">Total jours ouvrables acquis : Congés légaux - avec report cas échéant et jours de fractionnement </t>
        </r>
      </text>
    </comment>
    <comment ref="L75" authorId="2" shapeId="0" xr:uid="{3AF955AE-BEA7-406F-952F-0B7E259637FA}">
      <text>
        <r>
          <rPr>
            <sz val="9"/>
            <color indexed="81"/>
            <rFont val="Tahoma"/>
            <family val="2"/>
          </rPr>
          <t xml:space="preserve">Date de fin d'année de référence des congés payés fixée au contrat de travail
</t>
        </r>
        <r>
          <rPr>
            <b/>
            <sz val="9"/>
            <color indexed="81"/>
            <rFont val="Tahoma"/>
            <family val="2"/>
          </rPr>
          <t xml:space="preserve">ou </t>
        </r>
        <r>
          <rPr>
            <sz val="9"/>
            <color indexed="81"/>
            <rFont val="Tahoma"/>
            <family val="2"/>
          </rPr>
          <t>le cas échéant de rupture du contrat.
Format 00/00/0000</t>
        </r>
      </text>
    </comment>
    <comment ref="A81" authorId="0" shapeId="0" xr:uid="{EE1C51E5-48C4-41BE-BA90-3F5FC50714D5}">
      <text>
        <r>
          <rPr>
            <b/>
            <sz val="9"/>
            <color indexed="81"/>
            <rFont val="Tahoma"/>
            <family val="2"/>
          </rPr>
          <t xml:space="preserve">Soit 2,5 jours ouvrables*/mois </t>
        </r>
        <r>
          <rPr>
            <b/>
            <u/>
            <sz val="9"/>
            <color indexed="53"/>
            <rFont val="Tahoma"/>
            <family val="2"/>
          </rPr>
          <t>quelque soit la durée effective de travail au cours du mois.</t>
        </r>
        <r>
          <rPr>
            <b/>
            <sz val="9"/>
            <color indexed="81"/>
            <rFont val="Tahoma"/>
            <family val="2"/>
          </rPr>
          <t xml:space="preserve">
</t>
        </r>
        <r>
          <rPr>
            <sz val="10"/>
            <color indexed="81"/>
            <rFont val="Tahoma"/>
            <family val="2"/>
          </rPr>
          <t>En cas de début ou de fin de contrat au cours  du mois, il convient de vérifier le nombre de périodes de 4 semaines entre le début et la fin de l'année de référence : 2,5 jours ouvrables/période de  4 semaines.</t>
        </r>
        <r>
          <rPr>
            <b/>
            <sz val="9"/>
            <color indexed="81"/>
            <rFont val="Tahoma"/>
            <family val="2"/>
          </rPr>
          <t xml:space="preserve">
12 mois ou 12 périodes de 4 semaines = 30 jours ouvrables de congés payés acquis auxquels se rajoutent le  cas échéant les jours de fractionnement.
</t>
        </r>
        <r>
          <rPr>
            <sz val="10"/>
            <color indexed="81"/>
            <rFont val="Tahoma"/>
            <family val="2"/>
          </rPr>
          <t xml:space="preserve">Le contrat de travail ANAMAAF prévoit - selon la directive européenne - l'acquisition des congés payés en arrêt maladie non professionnelle. 
Les congés payés (2,5 jours ouvrables/mois) restent acquis durant le congé maternité - l'arrêt pour accident du travail et maladie professionnelle ainsi que durant la période de prise des congés payés.
Les semaines d'absence - non travaillées - de congés sans solde prises en compte dans le calcul de la mensualistion pour une modulation annuelle du salaire (temps partiel) , n' interfèrent nullement dans l'acquisition des droits au Congé payé acquis: un salarié à temps partiel - quelque soit la durée effective - acquiert autant de jours de congés payés </t>
        </r>
        <r>
          <rPr>
            <b/>
            <sz val="9"/>
            <color indexed="81"/>
            <rFont val="Tahoma"/>
            <family val="2"/>
          </rPr>
          <t>en durée</t>
        </r>
        <r>
          <rPr>
            <sz val="9"/>
            <color indexed="81"/>
            <rFont val="Tahoma"/>
            <family val="2"/>
          </rPr>
          <t xml:space="preserve"> </t>
        </r>
        <r>
          <rPr>
            <sz val="10"/>
            <color indexed="81"/>
            <rFont val="Tahoma"/>
            <family val="2"/>
          </rPr>
          <t>qu'un salarié à temps plein. Seul le montant de la rémunération  de ces congés payés  est proportionnel au salaire versé pour le temps de travail prévu par le contrat.</t>
        </r>
        <r>
          <rPr>
            <b/>
            <sz val="9"/>
            <color indexed="81"/>
            <rFont val="Tahoma"/>
            <family val="2"/>
          </rPr>
          <t xml:space="preserve">
* Jours ouvrables = tous les jours de la semaine à l'exception du Dimanche et des jours fériés</t>
        </r>
      </text>
    </comment>
    <comment ref="I81" authorId="0" shapeId="0" xr:uid="{1855030D-D638-4091-B915-7FA37F47A236}">
      <text>
        <r>
          <rPr>
            <b/>
            <sz val="9"/>
            <color indexed="57"/>
            <rFont val="Tahoma"/>
            <family val="2"/>
          </rPr>
          <t xml:space="preserve">Mensualisation </t>
        </r>
        <r>
          <rPr>
            <b/>
            <u/>
            <sz val="9"/>
            <color indexed="57"/>
            <rFont val="Tahoma"/>
            <family val="2"/>
          </rPr>
          <t>Congés payés Non Inclus</t>
        </r>
        <r>
          <rPr>
            <b/>
            <sz val="9"/>
            <color indexed="57"/>
            <rFont val="Tahoma"/>
            <family val="2"/>
          </rPr>
          <t>:</t>
        </r>
        <r>
          <rPr>
            <b/>
            <sz val="9"/>
            <color indexed="81"/>
            <rFont val="Tahoma"/>
            <family val="2"/>
          </rPr>
          <t xml:space="preserve">
</t>
        </r>
        <r>
          <rPr>
            <sz val="9"/>
            <color indexed="8"/>
            <rFont val="Tahoma"/>
            <family val="2"/>
          </rPr>
          <t>Indiquer le salaire mensualisé -</t>
        </r>
        <r>
          <rPr>
            <b/>
            <sz val="9"/>
            <color indexed="10"/>
            <rFont val="Tahoma"/>
            <family val="2"/>
          </rPr>
          <t xml:space="preserve"> Sans les heures compl ou suppl </t>
        </r>
        <r>
          <rPr>
            <sz val="9"/>
            <color indexed="8"/>
            <rFont val="Tahoma"/>
            <family val="2"/>
          </rPr>
          <t xml:space="preserve">- minoré le cas échéant en cas d'absence 
</t>
        </r>
        <r>
          <rPr>
            <b/>
            <sz val="9"/>
            <color indexed="8"/>
            <rFont val="Tahoma"/>
            <family val="2"/>
          </rPr>
          <t xml:space="preserve">
</t>
        </r>
        <r>
          <rPr>
            <b/>
            <sz val="9"/>
            <color indexed="52"/>
            <rFont val="Tahoma"/>
            <family val="2"/>
          </rPr>
          <t xml:space="preserve">Mensualisation </t>
        </r>
        <r>
          <rPr>
            <b/>
            <u/>
            <sz val="9"/>
            <color indexed="52"/>
            <rFont val="Tahoma"/>
            <family val="2"/>
          </rPr>
          <t xml:space="preserve">Congés Payés Inclus </t>
        </r>
        <r>
          <rPr>
            <b/>
            <sz val="9"/>
            <color indexed="52"/>
            <rFont val="Tahoma"/>
            <family val="2"/>
          </rPr>
          <t>:</t>
        </r>
        <r>
          <rPr>
            <b/>
            <sz val="9"/>
            <color indexed="8"/>
            <rFont val="Tahoma"/>
            <family val="2"/>
          </rPr>
          <t xml:space="preserve">
</t>
        </r>
        <r>
          <rPr>
            <sz val="9"/>
            <color indexed="8"/>
            <rFont val="Tahoma"/>
            <family val="2"/>
          </rPr>
          <t>Indiquer le salaire mensualisé -</t>
        </r>
        <r>
          <rPr>
            <b/>
            <sz val="9"/>
            <color indexed="10"/>
            <rFont val="Tahoma"/>
            <family val="2"/>
          </rPr>
          <t xml:space="preserve"> Sans les heures compl ou supp</t>
        </r>
        <r>
          <rPr>
            <sz val="9"/>
            <color indexed="8"/>
            <rFont val="Tahoma"/>
            <family val="2"/>
          </rPr>
          <t xml:space="preserve"> - lminoré le cas échéant en cas d'absence</t>
        </r>
      </text>
    </comment>
    <comment ref="J81" authorId="1" shapeId="0" xr:uid="{69A43695-681F-41E6-87B0-15A2970DA732}">
      <text>
        <r>
          <rPr>
            <b/>
            <sz val="9"/>
            <color indexed="52"/>
            <rFont val="Tahoma"/>
            <family val="2"/>
          </rPr>
          <t xml:space="preserve">Mensualisation </t>
        </r>
        <r>
          <rPr>
            <b/>
            <u/>
            <sz val="9"/>
            <color indexed="52"/>
            <rFont val="Tahoma"/>
            <family val="2"/>
          </rPr>
          <t>Congés Payés Inclus</t>
        </r>
        <r>
          <rPr>
            <sz val="9"/>
            <color indexed="81"/>
            <rFont val="Tahoma"/>
            <family val="2"/>
          </rPr>
          <t xml:space="preserve"> : Montant mensuel correspondant aux  CP </t>
        </r>
        <r>
          <rPr>
            <b/>
            <u/>
            <sz val="9"/>
            <color indexed="81"/>
            <rFont val="Tahoma"/>
            <family val="2"/>
          </rPr>
          <t>inclus dans le salaire</t>
        </r>
        <r>
          <rPr>
            <sz val="9"/>
            <color indexed="81"/>
            <rFont val="Tahoma"/>
            <family val="2"/>
          </rPr>
          <t xml:space="preserve">  </t>
        </r>
        <r>
          <rPr>
            <b/>
            <u/>
            <sz val="9"/>
            <color indexed="10"/>
            <rFont val="Tahoma"/>
            <family val="2"/>
          </rPr>
          <t>HORMIS CP</t>
        </r>
        <r>
          <rPr>
            <sz val="9"/>
            <color indexed="10"/>
            <rFont val="Tahoma"/>
            <family val="2"/>
          </rPr>
          <t xml:space="preserve"> Heures complémentaires et supplémentaires</t>
        </r>
        <r>
          <rPr>
            <sz val="9"/>
            <color indexed="81"/>
            <rFont val="Tahoma"/>
            <family val="2"/>
          </rPr>
          <t xml:space="preserve">
</t>
        </r>
        <r>
          <rPr>
            <b/>
            <sz val="9"/>
            <color indexed="57"/>
            <rFont val="Tahoma"/>
            <family val="2"/>
          </rPr>
          <t xml:space="preserve">Mensualisation </t>
        </r>
        <r>
          <rPr>
            <b/>
            <u/>
            <sz val="9"/>
            <color indexed="57"/>
            <rFont val="Tahoma"/>
            <family val="2"/>
          </rPr>
          <t>Congés payés Non Inclus</t>
        </r>
        <r>
          <rPr>
            <sz val="9"/>
            <color indexed="81"/>
            <rFont val="Tahoma"/>
            <family val="2"/>
          </rPr>
          <t>:
Montant mensuel à</t>
        </r>
        <r>
          <rPr>
            <b/>
            <u/>
            <sz val="9"/>
            <color indexed="81"/>
            <rFont val="Tahoma"/>
            <family val="2"/>
          </rPr>
          <t xml:space="preserve"> verser en plus du salaire</t>
        </r>
        <r>
          <rPr>
            <sz val="9"/>
            <color indexed="81"/>
            <rFont val="Tahoma"/>
            <family val="2"/>
          </rPr>
          <t xml:space="preserve"> correspondant aux </t>
        </r>
        <r>
          <rPr>
            <b/>
            <sz val="9"/>
            <color indexed="81"/>
            <rFont val="Tahoma"/>
            <family val="2"/>
          </rPr>
          <t>11%</t>
        </r>
        <r>
          <rPr>
            <sz val="9"/>
            <color indexed="81"/>
            <rFont val="Tahoma"/>
            <family val="2"/>
          </rPr>
          <t xml:space="preserve"> de CP </t>
        </r>
        <r>
          <rPr>
            <b/>
            <u/>
            <sz val="9"/>
            <color indexed="81"/>
            <rFont val="Tahoma"/>
            <family val="2"/>
          </rPr>
          <t xml:space="preserve">sur le salaire mensuel de base càd   </t>
        </r>
        <r>
          <rPr>
            <b/>
            <u/>
            <sz val="9"/>
            <color indexed="10"/>
            <rFont val="Tahoma"/>
            <family val="2"/>
          </rPr>
          <t>HORMIS CP</t>
        </r>
        <r>
          <rPr>
            <b/>
            <u/>
            <sz val="9"/>
            <color indexed="81"/>
            <rFont val="Tahoma"/>
            <family val="2"/>
          </rPr>
          <t xml:space="preserve"> Heures complémentaires et supplémentaires</t>
        </r>
      </text>
    </comment>
    <comment ref="K81" authorId="3" shapeId="0" xr:uid="{21D38396-A973-4709-8082-3228DF4667DF}">
      <text>
        <r>
          <rPr>
            <b/>
            <sz val="9"/>
            <color indexed="53"/>
            <rFont val="Tahoma"/>
            <family val="2"/>
          </rPr>
          <t xml:space="preserve">Mensualisation </t>
        </r>
        <r>
          <rPr>
            <b/>
            <u/>
            <sz val="9"/>
            <color indexed="53"/>
            <rFont val="Tahoma"/>
            <family val="2"/>
          </rPr>
          <t>Congés Payés Inclus</t>
        </r>
        <r>
          <rPr>
            <b/>
            <sz val="9"/>
            <color indexed="81"/>
            <rFont val="Tahoma"/>
            <family val="2"/>
          </rPr>
          <t xml:space="preserve"> : 
</t>
        </r>
        <r>
          <rPr>
            <b/>
            <u/>
            <sz val="9"/>
            <color indexed="10"/>
            <rFont val="Tahoma"/>
            <family val="2"/>
          </rPr>
          <t>Indiquer séparément</t>
        </r>
        <r>
          <rPr>
            <sz val="9"/>
            <color indexed="81"/>
            <rFont val="Tahoma"/>
            <family val="2"/>
          </rPr>
          <t xml:space="preserve"> les salaires correspondant aux  Heures complémentaires et supplémentaires et </t>
        </r>
        <r>
          <rPr>
            <b/>
            <u/>
            <sz val="9"/>
            <color indexed="10"/>
            <rFont val="Tahoma"/>
            <family val="2"/>
          </rPr>
          <t xml:space="preserve">verse en plus du salaire de base </t>
        </r>
        <r>
          <rPr>
            <sz val="9"/>
            <color indexed="81"/>
            <rFont val="Tahoma"/>
            <family val="2"/>
          </rPr>
          <t>pour prendre en compte l exnération des cotisations et la défiscalisation sur le bulletin de salaire</t>
        </r>
        <r>
          <rPr>
            <b/>
            <sz val="9"/>
            <color indexed="81"/>
            <rFont val="Tahoma"/>
            <family val="2"/>
          </rPr>
          <t xml:space="preserve">
</t>
        </r>
        <r>
          <rPr>
            <b/>
            <sz val="9"/>
            <color indexed="17"/>
            <rFont val="Tahoma"/>
            <family val="2"/>
          </rPr>
          <t xml:space="preserve">Mensualisation </t>
        </r>
        <r>
          <rPr>
            <b/>
            <u/>
            <sz val="9"/>
            <color indexed="17"/>
            <rFont val="Tahoma"/>
            <family val="2"/>
          </rPr>
          <t>Congés payés Non Inclus</t>
        </r>
        <r>
          <rPr>
            <b/>
            <sz val="9"/>
            <color indexed="17"/>
            <rFont val="Tahoma"/>
            <family val="2"/>
          </rPr>
          <t>:</t>
        </r>
        <r>
          <rPr>
            <b/>
            <sz val="9"/>
            <color indexed="81"/>
            <rFont val="Tahoma"/>
            <family val="2"/>
          </rPr>
          <t xml:space="preserve">
</t>
        </r>
        <r>
          <rPr>
            <b/>
            <u/>
            <sz val="9"/>
            <color indexed="10"/>
            <rFont val="Tahoma"/>
            <family val="2"/>
          </rPr>
          <t xml:space="preserve">Indiquer séparément </t>
        </r>
        <r>
          <rPr>
            <sz val="9"/>
            <color indexed="81"/>
            <rFont val="Tahoma"/>
            <family val="2"/>
          </rPr>
          <t>les salaires correspondant aux  Heures complémentaires et supplémentaires pour prendre en compte l exnération des cotisations et la défiscalisation sur le bulletin de salaire</t>
        </r>
      </text>
    </comment>
    <comment ref="L81" authorId="1" shapeId="0" xr:uid="{98C4F60A-4943-4DF6-8D2A-60D10C388478}">
      <text>
        <r>
          <rPr>
            <b/>
            <sz val="9"/>
            <color indexed="53"/>
            <rFont val="Tahoma"/>
            <family val="2"/>
          </rPr>
          <t xml:space="preserve">Mensualisation </t>
        </r>
        <r>
          <rPr>
            <b/>
            <u/>
            <sz val="9"/>
            <color indexed="53"/>
            <rFont val="Tahoma"/>
            <family val="2"/>
          </rPr>
          <t xml:space="preserve">Congés Payés Inclus </t>
        </r>
        <r>
          <rPr>
            <b/>
            <sz val="9"/>
            <color indexed="57"/>
            <rFont val="Tahoma"/>
            <family val="2"/>
          </rPr>
          <t xml:space="preserve">: 
</t>
        </r>
        <r>
          <rPr>
            <sz val="9"/>
            <color indexed="81"/>
            <rFont val="Tahoma"/>
            <family val="2"/>
          </rPr>
          <t xml:space="preserve">Montant mensuel correspondant aux  11% de CP  sur les Heures complémentaires et supplémentaires </t>
        </r>
        <r>
          <rPr>
            <b/>
            <sz val="9"/>
            <color indexed="53"/>
            <rFont val="Tahoma"/>
            <family val="2"/>
          </rPr>
          <t>à verser en plus du salaire mensualisé de base</t>
        </r>
        <r>
          <rPr>
            <b/>
            <sz val="9"/>
            <color indexed="57"/>
            <rFont val="Tahoma"/>
            <family val="2"/>
          </rPr>
          <t xml:space="preserve">
Mensualisation </t>
        </r>
        <r>
          <rPr>
            <b/>
            <u/>
            <sz val="9"/>
            <color indexed="57"/>
            <rFont val="Tahoma"/>
            <family val="2"/>
          </rPr>
          <t>Congés payés Non Inclus:</t>
        </r>
        <r>
          <rPr>
            <b/>
            <sz val="9"/>
            <color indexed="57"/>
            <rFont val="Tahoma"/>
            <family val="2"/>
          </rPr>
          <t xml:space="preserve">
</t>
        </r>
        <r>
          <rPr>
            <sz val="9"/>
            <color indexed="81"/>
            <rFont val="Tahoma"/>
            <family val="2"/>
          </rPr>
          <t>Montant mensuel</t>
        </r>
        <r>
          <rPr>
            <b/>
            <sz val="9"/>
            <color indexed="57"/>
            <rFont val="Tahoma"/>
            <family val="2"/>
          </rPr>
          <t xml:space="preserve"> </t>
        </r>
        <r>
          <rPr>
            <b/>
            <sz val="9"/>
            <color indexed="10"/>
            <rFont val="Tahoma"/>
            <family val="2"/>
          </rPr>
          <t>à verser en plus du salaire</t>
        </r>
        <r>
          <rPr>
            <sz val="9"/>
            <color indexed="81"/>
            <rFont val="Tahoma"/>
            <family val="2"/>
          </rPr>
          <t xml:space="preserve"> correspondant aux 11% de CP  Heures complémentaires et supplémentaires</t>
        </r>
        <r>
          <rPr>
            <b/>
            <sz val="9"/>
            <color indexed="57"/>
            <rFont val="Tahoma"/>
            <family val="2"/>
          </rPr>
          <t xml:space="preserve">
</t>
        </r>
      </text>
    </comment>
    <comment ref="M81" authorId="0" shapeId="0" xr:uid="{45000648-F59E-43DC-92C9-5CCA7F7408AA}">
      <text>
        <r>
          <rPr>
            <b/>
            <sz val="9"/>
            <color indexed="52"/>
            <rFont val="Tahoma"/>
            <family val="2"/>
          </rPr>
          <t xml:space="preserve">Mensualisation </t>
        </r>
        <r>
          <rPr>
            <b/>
            <u/>
            <sz val="9"/>
            <color indexed="52"/>
            <rFont val="Tahoma"/>
            <family val="2"/>
          </rPr>
          <t>Congés Payés Inclus</t>
        </r>
        <r>
          <rPr>
            <b/>
            <sz val="9"/>
            <color indexed="52"/>
            <rFont val="Tahoma"/>
            <family val="2"/>
          </rPr>
          <t xml:space="preserve"> </t>
        </r>
        <r>
          <rPr>
            <b/>
            <sz val="9"/>
            <color indexed="51"/>
            <rFont val="Tahoma"/>
            <family val="2"/>
          </rPr>
          <t xml:space="preserve">: </t>
        </r>
        <r>
          <rPr>
            <sz val="9"/>
            <color indexed="81"/>
            <rFont val="Tahoma"/>
            <family val="2"/>
          </rPr>
          <t>11% CP Heures complémentaires et supplémentaires</t>
        </r>
        <r>
          <rPr>
            <b/>
            <sz val="9"/>
            <color indexed="81"/>
            <rFont val="Tahoma"/>
            <family val="2"/>
          </rPr>
          <t xml:space="preserve">
</t>
        </r>
        <r>
          <rPr>
            <b/>
            <sz val="9"/>
            <color indexed="57"/>
            <rFont val="Tahoma"/>
            <family val="2"/>
          </rPr>
          <t xml:space="preserve">Mensualisation </t>
        </r>
        <r>
          <rPr>
            <b/>
            <u/>
            <sz val="9"/>
            <color indexed="57"/>
            <rFont val="Tahoma"/>
            <family val="2"/>
          </rPr>
          <t>Congés payés Non Inclus</t>
        </r>
        <r>
          <rPr>
            <b/>
            <sz val="9"/>
            <color indexed="57"/>
            <rFont val="Tahoma"/>
            <family val="2"/>
          </rPr>
          <t>:</t>
        </r>
        <r>
          <rPr>
            <sz val="9"/>
            <color indexed="8"/>
            <rFont val="Tahoma"/>
            <family val="2"/>
          </rPr>
          <t xml:space="preserve">
Autre Formule de calcul intégrant mensuellement les 10% de CP dus sur le salaire de base et sur les H Compl et suppl et  </t>
        </r>
        <r>
          <rPr>
            <b/>
            <sz val="9"/>
            <color indexed="10"/>
            <rFont val="Tahoma"/>
            <family val="2"/>
          </rPr>
          <t>en fin d'année de référence seulement</t>
        </r>
        <r>
          <rPr>
            <sz val="9"/>
            <color indexed="8"/>
            <rFont val="Tahoma"/>
            <family val="2"/>
          </rPr>
          <t xml:space="preserve"> les 10% dus sur les  CP ( = montant équivalent cellule J 41)</t>
        </r>
      </text>
    </comment>
    <comment ref="O83" authorId="4" shapeId="0" xr:uid="{59780894-4EE1-4E98-9FD6-41625C36B8CB}">
      <text>
        <r>
          <rPr>
            <sz val="9"/>
            <color indexed="8"/>
            <rFont val="Tahoma"/>
            <family val="2"/>
          </rPr>
          <t xml:space="preserve">Saisir le montant de la </t>
        </r>
        <r>
          <rPr>
            <u/>
            <sz val="9"/>
            <color indexed="8"/>
            <rFont val="Tahoma"/>
            <family val="2"/>
          </rPr>
          <t>mensualisation BRUT de base*</t>
        </r>
        <r>
          <rPr>
            <sz val="9"/>
            <color indexed="8"/>
            <rFont val="Tahoma"/>
            <family val="2"/>
          </rPr>
          <t xml:space="preserve"> en cours au moment de la prise des congés principaux  - Vérifier à la fin de l'année de référence et au moment de la rupture du contrat
*Les régularisations au titre d'heures complémentaires ou supplémentaires ainsi que les absences non rémunérées sont saisies dans la colonne J ou L</t>
        </r>
      </text>
    </comment>
    <comment ref="O85" authorId="0" shapeId="0" xr:uid="{1A407F1D-8664-4F23-9924-C73ACF1C6FD5}">
      <text>
        <r>
          <rPr>
            <sz val="9"/>
            <color indexed="81"/>
            <rFont val="Tahoma"/>
            <family val="2"/>
          </rPr>
          <t xml:space="preserve">Si </t>
        </r>
        <r>
          <rPr>
            <b/>
            <sz val="9"/>
            <color indexed="10"/>
            <rFont val="Tahoma"/>
            <family val="2"/>
          </rPr>
          <t>montant négatif</t>
        </r>
        <r>
          <rPr>
            <b/>
            <sz val="9"/>
            <color indexed="81"/>
            <rFont val="Tahoma"/>
            <family val="2"/>
          </rPr>
          <t xml:space="preserve"> </t>
        </r>
        <r>
          <rPr>
            <sz val="9"/>
            <color indexed="81"/>
            <rFont val="Tahoma"/>
            <family val="2"/>
          </rPr>
          <t xml:space="preserve">
 congés payés </t>
        </r>
        <r>
          <rPr>
            <sz val="9"/>
            <color indexed="10"/>
            <rFont val="Tahoma"/>
            <family val="2"/>
          </rPr>
          <t>non acquis &amp; pris par anticipation</t>
        </r>
        <r>
          <rPr>
            <sz val="9"/>
            <color indexed="81"/>
            <rFont val="Tahoma"/>
            <family val="2"/>
          </rPr>
          <t xml:space="preserve"> au moment de  la rupture du contrat ou en fin d'année référence génèrant le remboursement  du trop perçu à l'employeur </t>
        </r>
      </text>
    </comment>
    <comment ref="O89" authorId="0" shapeId="0" xr:uid="{CEC2F233-CF37-4E77-A7A0-49257AE9EE1C}">
      <text>
        <r>
          <rPr>
            <b/>
            <sz val="9"/>
            <color indexed="10"/>
            <rFont val="Tahoma"/>
            <family val="2"/>
          </rPr>
          <t>Régularisation à effectuer</t>
        </r>
        <r>
          <rPr>
            <b/>
            <sz val="9"/>
            <color indexed="81"/>
            <rFont val="Tahoma"/>
            <family val="2"/>
          </rPr>
          <t xml:space="preserve"> </t>
        </r>
        <r>
          <rPr>
            <sz val="9"/>
            <color indexed="81"/>
            <rFont val="Tahoma"/>
            <family val="2"/>
          </rPr>
          <t xml:space="preserve">
Si le montant est négatif rien ne s'inscrit </t>
        </r>
      </text>
    </comment>
    <comment ref="O90" authorId="0" shapeId="0" xr:uid="{CA973894-E36B-4DCB-8172-AFFDC08516FD}">
      <text>
        <r>
          <rPr>
            <sz val="9"/>
            <color indexed="81"/>
            <rFont val="Tahoma"/>
            <family val="2"/>
          </rPr>
          <t xml:space="preserve">
</t>
        </r>
        <r>
          <rPr>
            <b/>
            <sz val="9"/>
            <color indexed="81"/>
            <rFont val="Tahoma"/>
            <family val="2"/>
          </rPr>
          <t xml:space="preserve">Méthode du 10ème </t>
        </r>
        <r>
          <rPr>
            <sz val="9"/>
            <color indexed="81"/>
            <rFont val="Tahoma"/>
            <family val="2"/>
          </rPr>
          <t xml:space="preserve">
</t>
        </r>
      </text>
    </comment>
    <comment ref="O91" authorId="0" shapeId="0" xr:uid="{4478C1EF-DF08-4EC7-8ABA-C5502ABFE41C}">
      <text>
        <r>
          <rPr>
            <sz val="9"/>
            <color indexed="81"/>
            <rFont val="Tahoma"/>
            <family val="2"/>
          </rPr>
          <t>Si cette période est une</t>
        </r>
        <r>
          <rPr>
            <b/>
            <sz val="9"/>
            <color indexed="81"/>
            <rFont val="Tahoma"/>
            <family val="2"/>
          </rPr>
          <t xml:space="preserve"> fin de contrat -</t>
        </r>
        <r>
          <rPr>
            <b/>
            <sz val="9"/>
            <color indexed="10"/>
            <rFont val="Tahoma"/>
            <family val="2"/>
          </rPr>
          <t xml:space="preserve"> cellule G80 cochée "OUI" - </t>
        </r>
        <r>
          <rPr>
            <sz val="9"/>
            <color indexed="81"/>
            <rFont val="Tahoma"/>
            <family val="2"/>
          </rPr>
          <t xml:space="preserve">la </t>
        </r>
        <r>
          <rPr>
            <b/>
            <sz val="9"/>
            <color indexed="81"/>
            <rFont val="Tahoma"/>
            <family val="2"/>
          </rPr>
          <t>cellule O91</t>
        </r>
        <r>
          <rPr>
            <sz val="9"/>
            <color indexed="81"/>
            <rFont val="Tahoma"/>
            <family val="2"/>
          </rPr>
          <t xml:space="preserve"> doit être </t>
        </r>
        <r>
          <rPr>
            <b/>
            <sz val="9"/>
            <color indexed="81"/>
            <rFont val="Tahoma"/>
            <family val="2"/>
          </rPr>
          <t>cochée "NON"</t>
        </r>
      </text>
    </comment>
    <comment ref="N95" authorId="0" shapeId="0" xr:uid="{0CEDBEE0-85BC-45DD-BE21-92A1F43684AA}">
      <text>
        <r>
          <rPr>
            <sz val="9"/>
            <color indexed="81"/>
            <rFont val="Tahoma"/>
            <family val="2"/>
          </rPr>
          <t xml:space="preserve">Les congés payés </t>
        </r>
        <r>
          <rPr>
            <sz val="9"/>
            <color indexed="10"/>
            <rFont val="Tahoma"/>
            <family val="2"/>
          </rPr>
          <t xml:space="preserve">acquis &amp; </t>
        </r>
        <r>
          <rPr>
            <b/>
            <sz val="9"/>
            <color indexed="10"/>
            <rFont val="Tahoma"/>
            <family val="2"/>
          </rPr>
          <t>non pris</t>
        </r>
        <r>
          <rPr>
            <sz val="9"/>
            <color indexed="81"/>
            <rFont val="Tahoma"/>
            <family val="2"/>
          </rPr>
          <t xml:space="preserve"> au moment de  la rupture du contrat ou non reportés en fin d'année référence génèrent le versement  d' une indemnité compensatrice au salarié.
A contrario les congés payés</t>
        </r>
        <r>
          <rPr>
            <sz val="9"/>
            <color indexed="10"/>
            <rFont val="Tahoma"/>
            <family val="2"/>
          </rPr>
          <t xml:space="preserve"> non acquis &amp; pris par anticipation</t>
        </r>
        <r>
          <rPr>
            <sz val="9"/>
            <color indexed="81"/>
            <rFont val="Tahoma"/>
            <family val="2"/>
          </rPr>
          <t xml:space="preserve"> au moment de  la rupture du contrat ou non déduits de l'année référence suivante génèrent le remboursement  du trop perçu à l'employeur (Cf cellule O85 si négatif).Cependant la régularisation au titre de la méthode la plus favorable reste due.</t>
        </r>
        <r>
          <rPr>
            <sz val="11"/>
            <color indexed="81"/>
            <rFont val="Tahoma"/>
            <family val="2"/>
          </rPr>
          <t xml:space="preserve">
</t>
        </r>
      </text>
    </comment>
    <comment ref="O95" authorId="0" shapeId="0" xr:uid="{DA55E4CB-7F3E-4495-A297-0FCB361909FC}">
      <text>
        <r>
          <rPr>
            <sz val="9"/>
            <color indexed="81"/>
            <rFont val="Tahoma"/>
            <family val="2"/>
          </rPr>
          <t xml:space="preserve">Soit :
- </t>
        </r>
        <r>
          <rPr>
            <b/>
            <sz val="9"/>
            <color indexed="81"/>
            <rFont val="Tahoma"/>
            <family val="2"/>
          </rPr>
          <t>Si la cellule O89 est inactive :</t>
        </r>
        <r>
          <rPr>
            <sz val="9"/>
            <color indexed="81"/>
            <rFont val="Tahoma"/>
            <family val="2"/>
          </rPr>
          <t xml:space="preserve">
La somme est égale à la cellule O85 </t>
        </r>
        <r>
          <rPr>
            <sz val="9"/>
            <color indexed="10"/>
            <rFont val="Tahoma"/>
            <family val="2"/>
          </rPr>
          <t>en absence de report des congés</t>
        </r>
        <r>
          <rPr>
            <sz val="9"/>
            <color indexed="81"/>
            <rFont val="Tahoma"/>
            <family val="2"/>
          </rPr>
          <t xml:space="preserve">
La somme nulle </t>
        </r>
        <r>
          <rPr>
            <sz val="9"/>
            <color indexed="10"/>
            <rFont val="Tahoma"/>
            <family val="2"/>
          </rPr>
          <t>si report des congés</t>
        </r>
        <r>
          <rPr>
            <sz val="9"/>
            <color indexed="81"/>
            <rFont val="Tahoma"/>
            <family val="2"/>
          </rPr>
          <t xml:space="preserve">
</t>
        </r>
        <r>
          <rPr>
            <b/>
            <sz val="9"/>
            <color indexed="81"/>
            <rFont val="Tahoma"/>
            <family val="2"/>
          </rPr>
          <t>- Si la cellule O89 est active :</t>
        </r>
        <r>
          <rPr>
            <sz val="9"/>
            <color indexed="81"/>
            <rFont val="Tahoma"/>
            <family val="2"/>
          </rPr>
          <t xml:space="preserve"> 
</t>
        </r>
        <r>
          <rPr>
            <b/>
            <sz val="9"/>
            <color indexed="10"/>
            <rFont val="Tahoma"/>
            <family val="2"/>
          </rPr>
          <t xml:space="preserve">Et </t>
        </r>
        <r>
          <rPr>
            <sz val="9"/>
            <color indexed="10"/>
            <rFont val="Tahoma"/>
            <family val="2"/>
          </rPr>
          <t>en absence de report des congés ,</t>
        </r>
        <r>
          <rPr>
            <sz val="9"/>
            <color indexed="81"/>
            <rFont val="Tahoma"/>
            <family val="2"/>
          </rPr>
          <t xml:space="preserve"> La somme est égale à la cellule O85 +O89 (soit la différence de la cellule O86 moins J98/99 au titre de régularisation du plus favorable et les CP acquis et non pris)
</t>
        </r>
        <r>
          <rPr>
            <sz val="9"/>
            <color indexed="10"/>
            <rFont val="Tahoma"/>
            <family val="2"/>
          </rPr>
          <t xml:space="preserve">Avec de report des congés </t>
        </r>
        <r>
          <rPr>
            <sz val="9"/>
            <color indexed="81"/>
            <rFont val="Tahoma"/>
            <family val="2"/>
          </rPr>
          <t xml:space="preserve">, la somme est égale à la cellule O89 au titre de régularisation du plus favorable </t>
        </r>
        <r>
          <rPr>
            <sz val="10"/>
            <color indexed="81"/>
            <rFont val="Tahoma"/>
            <family val="2"/>
          </rPr>
          <t xml:space="preserve">
</t>
        </r>
      </text>
    </comment>
    <comment ref="A97" authorId="0" shapeId="0" xr:uid="{C73949F0-93F8-4DE3-92C0-8F8C0089534B}">
      <text>
        <r>
          <rPr>
            <sz val="11"/>
            <color indexed="81"/>
            <rFont val="Tahoma"/>
            <family val="2"/>
          </rPr>
          <t>* Déduction des CP en cas d’arrêt de travail pour maladie non professionnelle au-delà de  38,4 semaines/année de référence
et Déduction des CP EXCLUSIVEMENT en cas de début ou fin de contrat en cours de mois
NOTA : VOIR ONGLET "Explication déduction CP"</t>
        </r>
      </text>
    </comment>
    <comment ref="E97" authorId="0" shapeId="0" xr:uid="{371CDFB5-A00E-4CA4-B5CF-51E9245DECFA}">
      <text>
        <r>
          <rPr>
            <sz val="11"/>
            <color indexed="81"/>
            <rFont val="Tahoma"/>
            <family val="2"/>
          </rPr>
          <t xml:space="preserve">NOTA : La saisie se fait dans l'onglet Explication déduction CP
Le contrat ANAMAAF est en conformité avec l’article 7 de la directive européenne CE 2003/88/CE du 04 novembre 2003, et la décision de la Cour de Justice Européenne  dans son arrêt du 24 Janvier 2012, - tout salarié absent en raison d’une maladie professionnelle ou non (ou en chômage partiel) a droit à un congé annuel payé d’au moins  4 semaines - c’est l’année de référence qui fixe le début et la fin – exemple un arrêt continu de 43 semaines réparti sur 2 années de référence   ne génère pas de déduction de jours de congés payés acquis
Il gère aussi la déduction de CP en cas de début ou fin de contrat en cours de mois : Suivre les indications de l'onglet Explication déduction CP à partir de la ligne 34
</t>
        </r>
      </text>
    </comment>
    <comment ref="E98" authorId="1" shapeId="0" xr:uid="{C974275F-DA05-45F0-9DA2-69754790430D}">
      <text>
        <r>
          <rPr>
            <sz val="9"/>
            <color indexed="81"/>
            <rFont val="Tahoma"/>
            <family val="2"/>
          </rPr>
          <t xml:space="preserve">Les </t>
        </r>
        <r>
          <rPr>
            <b/>
            <sz val="9"/>
            <color indexed="81"/>
            <rFont val="Tahoma"/>
            <family val="2"/>
          </rPr>
          <t>congés payés</t>
        </r>
        <r>
          <rPr>
            <sz val="9"/>
            <color indexed="81"/>
            <rFont val="Tahoma"/>
            <family val="2"/>
          </rPr>
          <t xml:space="preserve"> se  prennent en </t>
        </r>
        <r>
          <rPr>
            <b/>
            <sz val="9"/>
            <color indexed="81"/>
            <rFont val="Tahoma"/>
            <family val="2"/>
          </rPr>
          <t>jour entier</t>
        </r>
        <r>
          <rPr>
            <sz val="9"/>
            <color indexed="81"/>
            <rFont val="Tahoma"/>
            <family val="2"/>
          </rPr>
          <t xml:space="preserve"> et sont </t>
        </r>
        <r>
          <rPr>
            <b/>
            <sz val="9"/>
            <color indexed="81"/>
            <rFont val="Tahoma"/>
            <family val="2"/>
          </rPr>
          <t>non fractionnables.</t>
        </r>
        <r>
          <rPr>
            <sz val="9"/>
            <color indexed="81"/>
            <rFont val="Tahoma"/>
            <family val="2"/>
          </rPr>
          <t xml:space="preserve">
</t>
        </r>
      </text>
    </comment>
    <comment ref="J98" authorId="1" shapeId="0" xr:uid="{ECED705B-1C52-4110-9A42-CAD935023832}">
      <text>
        <r>
          <rPr>
            <b/>
            <sz val="9"/>
            <color indexed="51"/>
            <rFont val="Tahoma"/>
            <family val="2"/>
          </rPr>
          <t>Mensualisation Congés payés inclus</t>
        </r>
        <r>
          <rPr>
            <sz val="9"/>
            <color indexed="81"/>
            <rFont val="Tahoma"/>
            <family val="2"/>
          </rPr>
          <t xml:space="preserve">
Total des congés payés mensualisés et de ceux perçus ou à percevoir sur les heures complémentaires et supplémentaires</t>
        </r>
      </text>
    </comment>
    <comment ref="E100" authorId="1" shapeId="0" xr:uid="{3FC7D02D-D720-426C-929B-36B76C6A8E6C}">
      <text>
        <r>
          <rPr>
            <sz val="9"/>
            <color indexed="81"/>
            <rFont val="Tahoma"/>
            <family val="2"/>
          </rPr>
          <t xml:space="preserve">Jours de congés payés supplémenatires acquis si  maximum 24 jours ouvrables de congés pris* sont fractionnées en plusieurs fois (minimum obligatoire -si acquis -  12 jours ouvrables  consécutifs entre le 1er mai et le 31 octobre) :
- 2 jours de congés supplémentaires si 6 jours de congés sont pris séparément entre le 1er Novembre et le 30 Avril.
- 1 jour de congé supplémentaire si 3 à 5 jours de congés sont pris séparément entre le 1er Novembre et le 30 Avril..
* la 5ème semaine de congés payés n'entre pas dans le calcul du droit au jour de farctionnement .
</t>
        </r>
        <r>
          <rPr>
            <sz val="9"/>
            <color indexed="10"/>
            <rFont val="Tahoma"/>
            <family val="2"/>
          </rPr>
          <t xml:space="preserve">Ces jours de fractionnement </t>
        </r>
        <r>
          <rPr>
            <b/>
            <sz val="9"/>
            <color indexed="10"/>
            <rFont val="Tahoma"/>
            <family val="2"/>
          </rPr>
          <t>se cumulent en plus</t>
        </r>
        <r>
          <rPr>
            <sz val="9"/>
            <color indexed="10"/>
            <rFont val="Tahoma"/>
            <family val="2"/>
          </rPr>
          <t xml:space="preserve"> du nombre de jours ce congés payés acquis. </t>
        </r>
      </text>
    </comment>
    <comment ref="E101" authorId="0" shapeId="0" xr:uid="{37E80F8C-352E-423E-8E40-B14C0C49D1F1}">
      <text>
        <r>
          <rPr>
            <sz val="9"/>
            <color indexed="81"/>
            <rFont val="Tahoma"/>
            <family val="2"/>
          </rPr>
          <t xml:space="preserve">Total jours ouvrables acquis : Congés légaux - avec report le cas échéant et jours de fractionnement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Unsa</author>
  </authors>
  <commentList>
    <comment ref="D27" authorId="0" shapeId="0" xr:uid="{B264BC48-98B8-483F-BE39-AE3ECA8437A9}">
      <text>
        <r>
          <rPr>
            <b/>
            <sz val="9"/>
            <color indexed="81"/>
            <rFont val="Tahoma"/>
            <family val="2"/>
          </rPr>
          <t xml:space="preserve">Saisir </t>
        </r>
        <r>
          <rPr>
            <sz val="8"/>
            <color theme="1"/>
            <rFont val="Calibri"/>
            <family val="2"/>
          </rPr>
          <t xml:space="preserve">Nombre de semaines totales d’absence pour maladie non professionnelle dans l’année de référence </t>
        </r>
      </text>
    </comment>
    <comment ref="J27" authorId="0" shapeId="0" xr:uid="{A391E13B-8A06-4C1C-915C-A5621D64769E}">
      <text>
        <r>
          <rPr>
            <b/>
            <sz val="9"/>
            <color indexed="81"/>
            <rFont val="Tahoma"/>
            <family val="2"/>
          </rPr>
          <t xml:space="preserve">Saisir </t>
        </r>
        <r>
          <rPr>
            <sz val="8"/>
            <color theme="1"/>
            <rFont val="Calibri"/>
            <family val="2"/>
          </rPr>
          <t xml:space="preserve">Nombre de semaines totales d’absence pour maladie non professionnelle dans l’année de référence </t>
        </r>
      </text>
    </comment>
    <comment ref="D29" authorId="0" shapeId="0" xr:uid="{C8E309AD-02D2-4439-AE8D-2AE54FF78B3B}">
      <text>
        <r>
          <rPr>
            <b/>
            <sz val="9"/>
            <color indexed="81"/>
            <rFont val="Tahoma"/>
            <family val="2"/>
          </rPr>
          <t>Saisir</t>
        </r>
        <r>
          <rPr>
            <sz val="9"/>
            <color indexed="81"/>
            <rFont val="Tahoma"/>
            <family val="2"/>
          </rPr>
          <t xml:space="preserve"> Nombre de semaines totales d’absence pour maladie non professionnelle dans l’année de référence 
</t>
        </r>
      </text>
    </comment>
    <comment ref="J29" authorId="0" shapeId="0" xr:uid="{89A5FC70-5E85-49D5-A4A7-7A059CCE055D}">
      <text>
        <r>
          <rPr>
            <b/>
            <sz val="9"/>
            <color indexed="81"/>
            <rFont val="Tahoma"/>
            <family val="2"/>
          </rPr>
          <t xml:space="preserve">Saisir </t>
        </r>
        <r>
          <rPr>
            <sz val="8"/>
            <color theme="1"/>
            <rFont val="Calibri"/>
            <family val="2"/>
          </rPr>
          <t xml:space="preserve">Nombre de semaines totales d’absence pour maladie non professionnelle dans l’année de référence </t>
        </r>
      </text>
    </comment>
    <comment ref="D31" authorId="0" shapeId="0" xr:uid="{7263D552-1AB5-435F-8FEC-F3EE9420800F}">
      <text>
        <r>
          <rPr>
            <b/>
            <sz val="9"/>
            <color indexed="81"/>
            <rFont val="Tahoma"/>
            <family val="2"/>
          </rPr>
          <t xml:space="preserve">Saisir </t>
        </r>
        <r>
          <rPr>
            <sz val="8"/>
            <color theme="1"/>
            <rFont val="Calibri"/>
            <family val="2"/>
          </rPr>
          <t>Nombre de semaines totales d’absence pour maladie non professionnelle dans l’année de référence</t>
        </r>
        <r>
          <rPr>
            <b/>
            <sz val="9"/>
            <color indexed="81"/>
            <rFont val="Tahoma"/>
            <family val="2"/>
          </rPr>
          <t xml:space="preserve"> </t>
        </r>
      </text>
    </comment>
    <comment ref="J31" authorId="0" shapeId="0" xr:uid="{9D7A2734-744C-41DD-865D-B1B1614F3871}">
      <text>
        <r>
          <rPr>
            <b/>
            <sz val="9"/>
            <color indexed="81"/>
            <rFont val="Tahoma"/>
            <family val="2"/>
          </rPr>
          <t xml:space="preserve">Saisir </t>
        </r>
        <r>
          <rPr>
            <sz val="8"/>
            <color theme="1"/>
            <rFont val="Calibri"/>
            <family val="2"/>
          </rPr>
          <t xml:space="preserve">Nombre de semaines totales d’absence pour maladie non professionnelle dans l’année de référence </t>
        </r>
      </text>
    </comment>
    <comment ref="D50" authorId="0" shapeId="0" xr:uid="{8DAA7907-6236-41A0-88E9-2CE62D8F6261}">
      <text>
        <r>
          <rPr>
            <b/>
            <sz val="9"/>
            <color indexed="81"/>
            <rFont val="Tahoma"/>
            <family val="2"/>
          </rPr>
          <t xml:space="preserve">Saisir </t>
        </r>
        <r>
          <rPr>
            <sz val="8"/>
            <color theme="1"/>
            <rFont val="Calibri"/>
            <family val="2"/>
          </rPr>
          <t>Nombre de semaines du contrat comprises entre la date de début ou fin de contrat et de début ou fin d’année de référence</t>
        </r>
      </text>
    </comment>
    <comment ref="J50" authorId="0" shapeId="0" xr:uid="{748F92B7-9F05-4B99-B712-3C1ED2A0A6C7}">
      <text>
        <r>
          <rPr>
            <b/>
            <sz val="9"/>
            <color indexed="81"/>
            <rFont val="Tahoma"/>
            <family val="2"/>
          </rPr>
          <t xml:space="preserve">Saisir </t>
        </r>
        <r>
          <rPr>
            <sz val="8"/>
            <color theme="1"/>
            <rFont val="Calibri"/>
            <family val="2"/>
          </rPr>
          <t>Nombre de semaines du contrat comprises entre la date de début ou fin de contrat et de début ou fin d’année de référence</t>
        </r>
      </text>
    </comment>
    <comment ref="D52" authorId="0" shapeId="0" xr:uid="{A4B1CC9B-0C99-48E0-86C4-8DDA236168C8}">
      <text>
        <r>
          <rPr>
            <b/>
            <sz val="9"/>
            <color indexed="81"/>
            <rFont val="Tahoma"/>
            <family val="2"/>
          </rPr>
          <t xml:space="preserve">Saisir </t>
        </r>
        <r>
          <rPr>
            <sz val="8"/>
            <color theme="1"/>
            <rFont val="Calibri"/>
            <family val="2"/>
          </rPr>
          <t>Nombre de semaines du contrat comprises entre la date de début ou fin de contrat et de début ou fin d’année de référence</t>
        </r>
      </text>
    </comment>
    <comment ref="J52" authorId="0" shapeId="0" xr:uid="{C5A57238-5CCC-4B64-A3C7-C8454BD226FF}">
      <text>
        <r>
          <rPr>
            <b/>
            <sz val="9"/>
            <color indexed="81"/>
            <rFont val="Tahoma"/>
            <family val="2"/>
          </rPr>
          <t xml:space="preserve">Saisir </t>
        </r>
        <r>
          <rPr>
            <sz val="8"/>
            <color theme="1"/>
            <rFont val="Calibri"/>
            <family val="2"/>
          </rPr>
          <t>Nombre de semaines du contrat comprises entre la date de début ou fin de contrat et de début ou fin d’année de référence</t>
        </r>
      </text>
    </comment>
    <comment ref="D54" authorId="0" shapeId="0" xr:uid="{E58281DC-42D3-44D5-BC76-B8C034D464E5}">
      <text>
        <r>
          <rPr>
            <b/>
            <sz val="9"/>
            <color indexed="81"/>
            <rFont val="Tahoma"/>
            <family val="2"/>
          </rPr>
          <t xml:space="preserve">Saisir </t>
        </r>
        <r>
          <rPr>
            <sz val="8"/>
            <color theme="1"/>
            <rFont val="Calibri"/>
            <family val="2"/>
          </rPr>
          <t>Nombre de semaines du contrat comprises entre la date de début ou fin de contrat et de début ou fin d’année de référence</t>
        </r>
      </text>
    </comment>
    <comment ref="J54" authorId="0" shapeId="0" xr:uid="{59A3F9C0-1134-4AEA-90DD-0F5A7B18E1FB}">
      <text>
        <r>
          <rPr>
            <b/>
            <sz val="9"/>
            <color indexed="81"/>
            <rFont val="Tahoma"/>
            <family val="2"/>
          </rPr>
          <t xml:space="preserve">Saisir </t>
        </r>
        <r>
          <rPr>
            <sz val="8"/>
            <color theme="1"/>
            <rFont val="Calibri"/>
            <family val="2"/>
          </rPr>
          <t>Nombre de semaines du contrat comprises entre la date de début ou fin de contrat et de début ou fin d’année de référence</t>
        </r>
      </text>
    </comment>
  </commentList>
</comments>
</file>

<file path=xl/sharedStrings.xml><?xml version="1.0" encoding="utf-8"?>
<sst xmlns="http://schemas.openxmlformats.org/spreadsheetml/2006/main" count="324" uniqueCount="86">
  <si>
    <t>Congés pris</t>
  </si>
  <si>
    <t xml:space="preserve">Congés acquis </t>
  </si>
  <si>
    <t>oui</t>
  </si>
  <si>
    <t>non</t>
  </si>
  <si>
    <t>1er année de référence</t>
  </si>
  <si>
    <t>MENSUALISATION</t>
  </si>
  <si>
    <t>VALEUR 1 JOUR CP</t>
  </si>
  <si>
    <t>Jours de fractionnement</t>
  </si>
  <si>
    <t xml:space="preserve">10ème mois année référence </t>
  </si>
  <si>
    <t xml:space="preserve">11ème mois année référence </t>
  </si>
  <si>
    <t xml:space="preserve">12ème mois année référence </t>
  </si>
  <si>
    <t>9ème   mois année référence</t>
  </si>
  <si>
    <t>8ème   mois année référence</t>
  </si>
  <si>
    <t>7ème   mois année référence</t>
  </si>
  <si>
    <t>6ème   mois année référence</t>
  </si>
  <si>
    <t>5ème   mois année référence</t>
  </si>
  <si>
    <t>4ème   mois année référence</t>
  </si>
  <si>
    <t xml:space="preserve">3ème   mois année référence </t>
  </si>
  <si>
    <t xml:space="preserve">2ème   mois année référence </t>
  </si>
  <si>
    <t xml:space="preserve">1er      mois année référence </t>
  </si>
  <si>
    <t>au</t>
  </si>
  <si>
    <t xml:space="preserve">Total jours ouvrables </t>
  </si>
  <si>
    <t>Total jours ouvrables acquis</t>
  </si>
  <si>
    <t>1ère Année de référence contractualisée</t>
  </si>
  <si>
    <t>Cette période est elle votre fin de contrat ?</t>
  </si>
  <si>
    <t>3e année de référence</t>
  </si>
  <si>
    <t>2e année de référence</t>
  </si>
  <si>
    <t>3ème Année de référence contractualisée</t>
  </si>
  <si>
    <t>2ème Année de référence contractualisée</t>
  </si>
  <si>
    <t>Mensualisation Congés Payés Non  Inclus</t>
  </si>
  <si>
    <t>Mensualisation Congés Payés Inclus</t>
  </si>
  <si>
    <t xml:space="preserve">Date du début du contrat de travail </t>
  </si>
  <si>
    <t>au cours de l’année de référence qui dure 12 mois ; le salarié acquiert et doit avoir pris 30 jours ouvrables de congés</t>
  </si>
  <si>
    <t>Calcul Montant Maintien de salaire</t>
  </si>
  <si>
    <r>
      <t xml:space="preserve">Calcul Montant du 10ème  </t>
    </r>
    <r>
      <rPr>
        <b/>
        <i/>
        <vertAlign val="superscript"/>
        <sz val="12"/>
        <color indexed="56"/>
        <rFont val="Calibri"/>
        <family val="2"/>
      </rPr>
      <t/>
    </r>
  </si>
  <si>
    <t xml:space="preserve"> CALCUL DURÉE des CONGÉS PAYÉS</t>
  </si>
  <si>
    <t xml:space="preserve"> CALCUL MONTANT DES CONGÉS PAYES </t>
  </si>
  <si>
    <t>Total</t>
  </si>
  <si>
    <t>Congés payés pris</t>
  </si>
  <si>
    <t>Congés acquis</t>
  </si>
  <si>
    <t>Montant des  CP acquis &amp; pris</t>
  </si>
  <si>
    <t>Montant des CP acquis &amp; non pris</t>
  </si>
  <si>
    <t xml:space="preserve">CALCUL MONTANT DES CONGÉS PAYES </t>
  </si>
  <si>
    <t xml:space="preserve">Toujours retenir la méthode la plus favorable entre </t>
  </si>
  <si>
    <t>maintien de salaire &amp; 10ème</t>
  </si>
  <si>
    <t>Report congé</t>
  </si>
  <si>
    <r>
      <t xml:space="preserve">Pour les Congés Payés  il ne suffit pas qu’ils soient payés – ils doivent aussi </t>
    </r>
    <r>
      <rPr>
        <b/>
        <u/>
        <sz val="12"/>
        <color indexed="10"/>
        <rFont val="Cambria"/>
        <family val="1"/>
      </rPr>
      <t>être pris</t>
    </r>
    <r>
      <rPr>
        <b/>
        <sz val="12"/>
        <color indexed="49"/>
        <rFont val="Cambria"/>
        <family val="1"/>
      </rPr>
      <t xml:space="preserve"> - Sinon cela revient à ce que ce temps de congé a été travaillé :</t>
    </r>
  </si>
  <si>
    <r>
      <t>Choississez en mettant une croix (</t>
    </r>
    <r>
      <rPr>
        <b/>
        <sz val="12"/>
        <color indexed="9"/>
        <rFont val="Cambria"/>
        <family val="1"/>
      </rPr>
      <t>x</t>
    </r>
    <r>
      <rPr>
        <sz val="12"/>
        <color indexed="8"/>
        <rFont val="Cambria"/>
        <family val="1"/>
      </rPr>
      <t>)</t>
    </r>
  </si>
  <si>
    <r>
      <rPr>
        <sz val="10"/>
        <color indexed="56"/>
        <rFont val="Cambria"/>
        <family val="1"/>
      </rPr>
      <t>*Les</t>
    </r>
    <r>
      <rPr>
        <sz val="11"/>
        <color indexed="56"/>
        <rFont val="Cambria"/>
        <family val="1"/>
      </rPr>
      <t xml:space="preserve"> congés payés acquis &amp; non pris au moment de la rupture du contrat génèrent le versement d' une indemnité compensatrice. </t>
    </r>
  </si>
  <si>
    <t>x</t>
  </si>
  <si>
    <t>Adresse professionnelle du salarié (e )</t>
  </si>
  <si>
    <t>Nom Prénom du salarié (e )</t>
  </si>
  <si>
    <t>Nom Prénom de l'employeur</t>
  </si>
  <si>
    <t>Signature Salarié(e)</t>
  </si>
  <si>
    <t>Signatures Employeur</t>
  </si>
  <si>
    <t xml:space="preserve">Tableau des concordances </t>
  </si>
  <si>
    <r>
      <t>Nombre de semaines totales d’absence pour maladie non professionnelle</t>
    </r>
    <r>
      <rPr>
        <b/>
        <sz val="9"/>
        <color indexed="10"/>
        <rFont val="Cambria"/>
        <family val="1"/>
      </rPr>
      <t xml:space="preserve"> dans l’année de référence </t>
    </r>
  </si>
  <si>
    <r>
      <t>Nombre de jours de CP à déduire  à la ligne: "</t>
    </r>
    <r>
      <rPr>
        <b/>
        <sz val="8"/>
        <color indexed="56"/>
        <rFont val="Cambria"/>
        <family val="1"/>
      </rPr>
      <t>Déduction des CP en cas d’arrêt de travail*</t>
    </r>
    <r>
      <rPr>
        <sz val="8"/>
        <color indexed="56"/>
        <rFont val="Cambria"/>
        <family val="1"/>
      </rPr>
      <t>"</t>
    </r>
  </si>
  <si>
    <t>Onglet: Calcul_cp</t>
  </si>
  <si>
    <t xml:space="preserve"> </t>
  </si>
  <si>
    <t>tableau</t>
  </si>
  <si>
    <t xml:space="preserve">Congés "Mère/père de famille" </t>
  </si>
  <si>
    <r>
      <rPr>
        <sz val="10"/>
        <color indexed="56"/>
        <rFont val="Cambria"/>
        <family val="1"/>
      </rPr>
      <t xml:space="preserve">*Les congés payés acquis &amp; non pris au moment de la rupture du contrat génèrent le versement d' une indemnité compensatrice. </t>
    </r>
  </si>
  <si>
    <r>
      <t xml:space="preserve">Montant Total CP acquis  </t>
    </r>
    <r>
      <rPr>
        <sz val="12"/>
        <color indexed="56"/>
        <rFont val="Cambria"/>
        <family val="1"/>
      </rPr>
      <t>(Maintien du salaire)</t>
    </r>
  </si>
  <si>
    <r>
      <t>Total CP dus pour l'année</t>
    </r>
    <r>
      <rPr>
        <b/>
        <sz val="9"/>
        <color indexed="56"/>
        <rFont val="Cambria"/>
        <family val="1"/>
      </rPr>
      <t xml:space="preserve"> </t>
    </r>
    <r>
      <rPr>
        <sz val="9"/>
        <color indexed="56"/>
        <rFont val="Cambria"/>
        <family val="1"/>
      </rPr>
      <t>(Méthode 10ème supérieure)</t>
    </r>
  </si>
  <si>
    <r>
      <t>Régularisation à verser</t>
    </r>
    <r>
      <rPr>
        <sz val="11"/>
        <color indexed="56"/>
        <rFont val="Cambria"/>
        <family val="1"/>
      </rPr>
      <t xml:space="preserve"> </t>
    </r>
    <r>
      <rPr>
        <sz val="10"/>
        <color indexed="56"/>
        <rFont val="Cambria"/>
        <family val="1"/>
      </rPr>
      <t>(Méthode 10ème inférieure)</t>
    </r>
  </si>
  <si>
    <t>Indemnité compensatrice de congés payés fin de contrat ou fin d'année référence</t>
  </si>
  <si>
    <t>CP pris</t>
  </si>
  <si>
    <r>
      <rPr>
        <sz val="11"/>
        <color indexed="56"/>
        <rFont val="Cambria"/>
        <family val="1"/>
      </rPr>
      <t xml:space="preserve">*Les congés payés acquis &amp; non pris au moment de la rupture du contrat génèrent le versement d' une indemnité compensatrice. </t>
    </r>
  </si>
  <si>
    <t>Ligne 39</t>
  </si>
  <si>
    <t>Ligne 68</t>
  </si>
  <si>
    <t>Ligne 97</t>
  </si>
  <si>
    <t>Onglet :Poursuite cp sur +3année</t>
  </si>
  <si>
    <t>Report automatique</t>
  </si>
  <si>
    <r>
      <rPr>
        <sz val="16"/>
        <color indexed="10"/>
        <rFont val="Calibri"/>
        <family val="2"/>
      </rPr>
      <t>Ce 2ème tableau n'est valable que pour l</t>
    </r>
    <r>
      <rPr>
        <b/>
        <u/>
        <sz val="16"/>
        <color indexed="10"/>
        <rFont val="Calibri"/>
        <family val="2"/>
      </rPr>
      <t>e report exclusif</t>
    </r>
    <r>
      <rPr>
        <sz val="16"/>
        <color indexed="10"/>
        <rFont val="Calibri"/>
        <family val="2"/>
      </rPr>
      <t xml:space="preserve"> des congés payés</t>
    </r>
    <r>
      <rPr>
        <b/>
        <sz val="16"/>
        <color indexed="10"/>
        <rFont val="Calibri"/>
        <family val="2"/>
      </rPr>
      <t xml:space="preserve"> </t>
    </r>
    <r>
      <rPr>
        <b/>
        <u/>
        <sz val="16"/>
        <color indexed="10"/>
        <rFont val="Calibri"/>
        <family val="2"/>
      </rPr>
      <t>non pris de la 3ème année</t>
    </r>
  </si>
  <si>
    <t>Total jrs ouvrables acquis + report des 3 années</t>
  </si>
  <si>
    <t>Poursuite CP sur + 3 année</t>
  </si>
  <si>
    <t>@ANAMAAF-CASAMAAF</t>
  </si>
  <si>
    <t>Déduction des CP-maladie non prof ou autre *</t>
  </si>
  <si>
    <t>Déduction des CP pour Maladie</t>
  </si>
  <si>
    <t>Déduction des CP-maladie non professionnelle</t>
  </si>
  <si>
    <t>A saisir</t>
  </si>
  <si>
    <t>Total Col E</t>
  </si>
  <si>
    <t>Déduction des CP (voir Onglet Explication) *</t>
  </si>
  <si>
    <t>Nb de j déduit</t>
  </si>
  <si>
    <t>Déduction des CP pour début ou fin de contrat en cours de mois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</si>
</sst>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 &quot;€&quot;"/>
    <numFmt numFmtId="165" formatCode="[$-40C]mmm\-yy;@"/>
    <numFmt numFmtId="166" formatCode="_-* #,##0.00\ [$€-40C]_-;\-* #,##0.00\ [$€-40C]_-;_-* &quot;-&quot;??\ [$€-40C]_-;_-@_-"/>
    <numFmt numFmtId="167" formatCode="0&quot;  cp pris&quot;"/>
    <numFmt numFmtId="168" formatCode="mmm"/>
  </numFmts>
  <fonts count="103" x14ac:knownFonts="1">
    <font>
      <sz val="8"/>
      <color theme="1"/>
      <name val="Calibri"/>
      <family val="2"/>
    </font>
    <font>
      <sz val="9"/>
      <color indexed="81"/>
      <name val="Tahoma"/>
      <family val="2"/>
    </font>
    <font>
      <b/>
      <sz val="9"/>
      <color indexed="81"/>
      <name val="Tahoma"/>
      <family val="2"/>
    </font>
    <font>
      <sz val="10"/>
      <name val="Arial"/>
      <family val="2"/>
    </font>
    <font>
      <b/>
      <sz val="9"/>
      <color indexed="10"/>
      <name val="Tahoma"/>
      <family val="2"/>
    </font>
    <font>
      <b/>
      <sz val="11"/>
      <color indexed="81"/>
      <name val="Tahoma"/>
      <family val="2"/>
    </font>
    <font>
      <b/>
      <sz val="11"/>
      <color indexed="10"/>
      <name val="Tahoma"/>
      <family val="2"/>
    </font>
    <font>
      <b/>
      <i/>
      <vertAlign val="superscript"/>
      <sz val="12"/>
      <color indexed="56"/>
      <name val="Calibri"/>
      <family val="2"/>
    </font>
    <font>
      <b/>
      <u/>
      <sz val="9"/>
      <color indexed="81"/>
      <name val="Tahoma"/>
      <family val="2"/>
    </font>
    <font>
      <b/>
      <u/>
      <sz val="9"/>
      <color indexed="10"/>
      <name val="Tahoma"/>
      <family val="2"/>
    </font>
    <font>
      <b/>
      <sz val="9"/>
      <color indexed="51"/>
      <name val="Tahoma"/>
      <family val="2"/>
    </font>
    <font>
      <b/>
      <sz val="9"/>
      <color indexed="57"/>
      <name val="Tahoma"/>
      <family val="2"/>
    </font>
    <font>
      <b/>
      <sz val="9"/>
      <color indexed="53"/>
      <name val="Tahoma"/>
      <family val="2"/>
    </font>
    <font>
      <b/>
      <u/>
      <sz val="9"/>
      <color indexed="53"/>
      <name val="Tahoma"/>
      <family val="2"/>
    </font>
    <font>
      <sz val="10"/>
      <color indexed="81"/>
      <name val="Tahoma"/>
      <family val="2"/>
    </font>
    <font>
      <u/>
      <sz val="9"/>
      <color indexed="81"/>
      <name val="Tahoma"/>
      <family val="2"/>
    </font>
    <font>
      <sz val="11"/>
      <color indexed="81"/>
      <name val="Tahoma"/>
      <family val="2"/>
    </font>
    <font>
      <sz val="9"/>
      <color indexed="10"/>
      <name val="Tahoma"/>
      <family val="2"/>
    </font>
    <font>
      <sz val="9"/>
      <color indexed="8"/>
      <name val="Tahoma"/>
      <family val="2"/>
    </font>
    <font>
      <b/>
      <sz val="9"/>
      <color indexed="8"/>
      <name val="Tahoma"/>
      <family val="2"/>
    </font>
    <font>
      <b/>
      <u/>
      <sz val="12"/>
      <color indexed="10"/>
      <name val="Cambria"/>
      <family val="1"/>
    </font>
    <font>
      <b/>
      <sz val="12"/>
      <color indexed="49"/>
      <name val="Cambria"/>
      <family val="1"/>
    </font>
    <font>
      <b/>
      <sz val="12"/>
      <color indexed="9"/>
      <name val="Cambria"/>
      <family val="1"/>
    </font>
    <font>
      <sz val="12"/>
      <color indexed="8"/>
      <name val="Cambria"/>
      <family val="1"/>
    </font>
    <font>
      <sz val="11"/>
      <color indexed="56"/>
      <name val="Cambria"/>
      <family val="1"/>
    </font>
    <font>
      <sz val="10"/>
      <color indexed="56"/>
      <name val="Cambria"/>
      <family val="1"/>
    </font>
    <font>
      <u/>
      <sz val="9"/>
      <color indexed="8"/>
      <name val="Tahoma"/>
      <family val="2"/>
    </font>
    <font>
      <b/>
      <i/>
      <u/>
      <sz val="9"/>
      <color indexed="81"/>
      <name val="Tahoma"/>
      <family val="2"/>
    </font>
    <font>
      <i/>
      <sz val="8"/>
      <color indexed="81"/>
      <name val="Tahoma"/>
      <family val="2"/>
    </font>
    <font>
      <u/>
      <sz val="9"/>
      <color indexed="10"/>
      <name val="Tahoma"/>
      <family val="2"/>
    </font>
    <font>
      <sz val="12"/>
      <color indexed="81"/>
      <name val="Tahoma"/>
      <family val="2"/>
    </font>
    <font>
      <b/>
      <sz val="9"/>
      <color indexed="10"/>
      <name val="Cambria"/>
      <family val="1"/>
    </font>
    <font>
      <b/>
      <sz val="8"/>
      <color indexed="56"/>
      <name val="Cambria"/>
      <family val="1"/>
    </font>
    <font>
      <sz val="8"/>
      <color indexed="56"/>
      <name val="Cambria"/>
      <family val="1"/>
    </font>
    <font>
      <sz val="12"/>
      <color indexed="56"/>
      <name val="Cambria"/>
      <family val="1"/>
    </font>
    <font>
      <sz val="9"/>
      <color indexed="56"/>
      <name val="Cambria"/>
      <family val="1"/>
    </font>
    <font>
      <b/>
      <sz val="9"/>
      <color indexed="56"/>
      <name val="Cambria"/>
      <family val="1"/>
    </font>
    <font>
      <b/>
      <sz val="16"/>
      <color indexed="10"/>
      <name val="Calibri"/>
      <family val="2"/>
    </font>
    <font>
      <sz val="16"/>
      <color indexed="10"/>
      <name val="Calibri"/>
      <family val="2"/>
    </font>
    <font>
      <b/>
      <u/>
      <sz val="16"/>
      <color indexed="10"/>
      <name val="Calibri"/>
      <family val="2"/>
    </font>
    <font>
      <b/>
      <sz val="9"/>
      <color indexed="52"/>
      <name val="Tahoma"/>
      <family val="2"/>
    </font>
    <font>
      <b/>
      <u/>
      <sz val="9"/>
      <color indexed="52"/>
      <name val="Tahoma"/>
      <family val="2"/>
    </font>
    <font>
      <b/>
      <u/>
      <sz val="9"/>
      <color indexed="57"/>
      <name val="Tahoma"/>
      <family val="2"/>
    </font>
    <font>
      <b/>
      <sz val="9"/>
      <color indexed="17"/>
      <name val="Tahoma"/>
      <family val="2"/>
    </font>
    <font>
      <b/>
      <u/>
      <sz val="9"/>
      <color indexed="17"/>
      <name val="Tahoma"/>
      <family val="2"/>
    </font>
    <font>
      <sz val="8"/>
      <color theme="1"/>
      <name val="Calibri"/>
      <family val="2"/>
    </font>
    <font>
      <sz val="8"/>
      <color theme="0"/>
      <name val="Calibri"/>
      <family val="2"/>
    </font>
    <font>
      <sz val="8"/>
      <color rgb="FFFF0000"/>
      <name val="Calibri"/>
      <family val="2"/>
    </font>
    <font>
      <sz val="11"/>
      <color theme="1"/>
      <name val="Calibri"/>
      <family val="2"/>
    </font>
    <font>
      <b/>
      <sz val="16"/>
      <color rgb="FFFF0000"/>
      <name val="Calibri"/>
      <family val="2"/>
    </font>
    <font>
      <sz val="8"/>
      <color rgb="FF00B050"/>
      <name val="Calibri"/>
      <family val="2"/>
    </font>
    <font>
      <b/>
      <sz val="12"/>
      <color theme="1"/>
      <name val="Book Antiqua"/>
      <family val="1"/>
    </font>
    <font>
      <sz val="11"/>
      <color rgb="FF002060"/>
      <name val="Calibri"/>
      <family val="2"/>
    </font>
    <font>
      <sz val="8"/>
      <color theme="1"/>
      <name val="Cambria"/>
      <family val="1"/>
      <scheme val="major"/>
    </font>
    <font>
      <sz val="11"/>
      <color theme="3"/>
      <name val="Cambria"/>
      <family val="1"/>
      <scheme val="major"/>
    </font>
    <font>
      <sz val="11"/>
      <color rgb="FF002060"/>
      <name val="Cambria"/>
      <family val="1"/>
      <scheme val="major"/>
    </font>
    <font>
      <b/>
      <sz val="11"/>
      <color theme="1"/>
      <name val="Cambria"/>
      <family val="1"/>
      <scheme val="major"/>
    </font>
    <font>
      <sz val="12"/>
      <color rgb="FFFF0000"/>
      <name val="Cambria"/>
      <family val="1"/>
      <scheme val="major"/>
    </font>
    <font>
      <i/>
      <sz val="11"/>
      <color rgb="FF002060"/>
      <name val="Cambria"/>
      <family val="1"/>
      <scheme val="major"/>
    </font>
    <font>
      <sz val="11"/>
      <color theme="1"/>
      <name val="Cambria"/>
      <family val="1"/>
      <scheme val="major"/>
    </font>
    <font>
      <b/>
      <sz val="11"/>
      <color rgb="FF002060"/>
      <name val="Cambria"/>
      <family val="1"/>
      <scheme val="major"/>
    </font>
    <font>
      <b/>
      <sz val="11"/>
      <color rgb="FFFF0000"/>
      <name val="Cambria"/>
      <family val="1"/>
      <scheme val="major"/>
    </font>
    <font>
      <sz val="12"/>
      <color rgb="FF002060"/>
      <name val="Cambria"/>
      <family val="1"/>
      <scheme val="major"/>
    </font>
    <font>
      <sz val="12"/>
      <color theme="1"/>
      <name val="Cambria"/>
      <family val="1"/>
      <scheme val="major"/>
    </font>
    <font>
      <sz val="11"/>
      <color rgb="FF1F497D"/>
      <name val="Cambria"/>
      <family val="1"/>
    </font>
    <font>
      <sz val="10"/>
      <color theme="1"/>
      <name val="Calibri"/>
      <family val="2"/>
    </font>
    <font>
      <sz val="11"/>
      <color theme="3"/>
      <name val="Calibri"/>
      <family val="2"/>
    </font>
    <font>
      <b/>
      <sz val="8"/>
      <color rgb="FF1F497D"/>
      <name val="Cambria"/>
      <family val="1"/>
    </font>
    <font>
      <sz val="11"/>
      <color indexed="56"/>
      <name val="Cambria"/>
      <family val="1"/>
      <scheme val="major"/>
    </font>
    <font>
      <b/>
      <sz val="10"/>
      <color theme="8" tint="-0.249977111117893"/>
      <name val="Arial"/>
      <family val="2"/>
    </font>
    <font>
      <sz val="9"/>
      <color theme="1"/>
      <name val="Calibri"/>
      <family val="2"/>
    </font>
    <font>
      <sz val="10"/>
      <color rgb="FF0070C0"/>
      <name val="Arial"/>
      <family val="2"/>
    </font>
    <font>
      <sz val="10"/>
      <color theme="1"/>
      <name val="Arial"/>
      <family val="2"/>
    </font>
    <font>
      <b/>
      <sz val="12"/>
      <color rgb="FF002060"/>
      <name val="Cambria"/>
      <family val="1"/>
      <scheme val="major"/>
    </font>
    <font>
      <b/>
      <sz val="11"/>
      <color theme="3" tint="-0.499984740745262"/>
      <name val="Cambria"/>
      <family val="1"/>
      <scheme val="major"/>
    </font>
    <font>
      <b/>
      <sz val="10"/>
      <color theme="3" tint="-0.499984740745262"/>
      <name val="Cambria"/>
      <family val="1"/>
      <scheme val="major"/>
    </font>
    <font>
      <sz val="11"/>
      <color theme="3" tint="-0.499984740745262"/>
      <name val="Cambria"/>
      <family val="1"/>
      <scheme val="major"/>
    </font>
    <font>
      <b/>
      <i/>
      <sz val="14"/>
      <color theme="0"/>
      <name val="Cambria"/>
      <family val="1"/>
      <scheme val="major"/>
    </font>
    <font>
      <sz val="11"/>
      <color rgb="FFFF0000"/>
      <name val="Cambria"/>
      <family val="1"/>
      <scheme val="major"/>
    </font>
    <font>
      <sz val="8"/>
      <color theme="3"/>
      <name val="Cambria"/>
      <family val="1"/>
      <scheme val="major"/>
    </font>
    <font>
      <sz val="11"/>
      <color theme="9" tint="0.59999389629810485"/>
      <name val="Cambria"/>
      <family val="1"/>
      <scheme val="major"/>
    </font>
    <font>
      <sz val="11"/>
      <color rgb="FFFFD99B"/>
      <name val="Cambria"/>
      <family val="1"/>
      <scheme val="major"/>
    </font>
    <font>
      <i/>
      <sz val="11"/>
      <color theme="0"/>
      <name val="Cambria"/>
      <family val="1"/>
      <scheme val="major"/>
    </font>
    <font>
      <sz val="11"/>
      <color theme="0"/>
      <name val="Cambria"/>
      <family val="1"/>
      <scheme val="major"/>
    </font>
    <font>
      <b/>
      <sz val="11"/>
      <color rgb="FFFFD99B"/>
      <name val="Cambria"/>
      <family val="1"/>
      <scheme val="major"/>
    </font>
    <font>
      <b/>
      <sz val="9"/>
      <color rgb="FFFFD99B"/>
      <name val="Cambria"/>
      <family val="1"/>
      <scheme val="major"/>
    </font>
    <font>
      <b/>
      <sz val="9"/>
      <color rgb="FF002060"/>
      <name val="Cambria"/>
      <family val="1"/>
      <scheme val="major"/>
    </font>
    <font>
      <sz val="24"/>
      <color theme="1"/>
      <name val="Calibri"/>
      <family val="2"/>
    </font>
    <font>
      <b/>
      <i/>
      <sz val="14"/>
      <color theme="3"/>
      <name val="Cambria"/>
      <family val="1"/>
      <scheme val="major"/>
    </font>
    <font>
      <b/>
      <sz val="12"/>
      <color theme="0"/>
      <name val="Cambria"/>
      <family val="1"/>
      <scheme val="major"/>
    </font>
    <font>
      <sz val="12"/>
      <color rgb="FF0070C0"/>
      <name val="Cambria"/>
      <family val="1"/>
      <scheme val="major"/>
    </font>
    <font>
      <sz val="10"/>
      <color rgb="FFFF0000"/>
      <name val="Cambria"/>
      <family val="1"/>
      <scheme val="major"/>
    </font>
    <font>
      <b/>
      <sz val="11"/>
      <color theme="0"/>
      <name val="Cambria"/>
      <family val="1"/>
      <scheme val="major"/>
    </font>
    <font>
      <b/>
      <sz val="11"/>
      <color theme="3"/>
      <name val="Cambria"/>
      <family val="1"/>
      <scheme val="major"/>
    </font>
    <font>
      <b/>
      <sz val="10"/>
      <color rgb="FFFF0000"/>
      <name val="Cambria"/>
      <family val="1"/>
      <scheme val="major"/>
    </font>
    <font>
      <sz val="10"/>
      <color indexed="56"/>
      <name val="Cambria"/>
      <family val="1"/>
      <scheme val="major"/>
    </font>
    <font>
      <b/>
      <sz val="12"/>
      <color theme="8" tint="-0.249977111117893"/>
      <name val="Cambria"/>
      <family val="1"/>
      <scheme val="major"/>
    </font>
    <font>
      <b/>
      <sz val="14"/>
      <color rgb="FFFF0000"/>
      <name val="Calibri"/>
      <family val="2"/>
    </font>
    <font>
      <b/>
      <sz val="18"/>
      <color theme="3"/>
      <name val="Cambria"/>
      <family val="1"/>
      <scheme val="major"/>
    </font>
    <font>
      <sz val="9"/>
      <color rgb="FFFF0000"/>
      <name val="Calibri"/>
      <family val="2"/>
    </font>
    <font>
      <sz val="9"/>
      <color rgb="FF1F497D"/>
      <name val="Cambria"/>
      <family val="1"/>
    </font>
    <font>
      <sz val="8"/>
      <color rgb="FF1F497D"/>
      <name val="Cambria"/>
      <family val="1"/>
    </font>
    <font>
      <sz val="12"/>
      <color theme="1"/>
      <name val="Calibri"/>
      <family val="2"/>
    </font>
  </fonts>
  <fills count="26">
    <fill>
      <patternFill patternType="none"/>
    </fill>
    <fill>
      <patternFill patternType="gray125"/>
    </fill>
    <fill>
      <patternFill patternType="solid">
        <fgColor rgb="FFFFD99B"/>
        <bgColor indexed="64"/>
      </patternFill>
    </fill>
    <fill>
      <patternFill patternType="solid">
        <fgColor theme="0"/>
        <bgColor indexed="64"/>
      </patternFill>
    </fill>
    <fill>
      <patternFill patternType="solid">
        <fgColor theme="8" tint="0.79998168889431442"/>
        <bgColor indexed="64"/>
      </patternFill>
    </fill>
    <fill>
      <patternFill patternType="solid">
        <fgColor rgb="FFFF99FF"/>
        <bgColor indexed="64"/>
      </patternFill>
    </fill>
    <fill>
      <patternFill patternType="solid">
        <fgColor rgb="FFFFFF9A"/>
        <bgColor indexed="64"/>
      </patternFill>
    </fill>
    <fill>
      <patternFill patternType="solid">
        <fgColor theme="9" tint="0.59999389629810485"/>
        <bgColor indexed="64"/>
      </patternFill>
    </fill>
    <fill>
      <patternFill patternType="solid">
        <fgColor rgb="FFDAEEF3"/>
        <bgColor indexed="64"/>
      </patternFill>
    </fill>
    <fill>
      <patternFill patternType="solid">
        <fgColor rgb="FFCCFF99"/>
        <bgColor indexed="64"/>
      </patternFill>
    </fill>
    <fill>
      <patternFill patternType="solid">
        <fgColor rgb="FFFFCC99"/>
        <bgColor indexed="64"/>
      </patternFill>
    </fill>
    <fill>
      <patternFill patternType="solid">
        <fgColor rgb="FFFF9AFF"/>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FF2D"/>
        <bgColor indexed="64"/>
      </patternFill>
    </fill>
    <fill>
      <patternFill patternType="solid">
        <fgColor rgb="FFFFFF36"/>
        <bgColor indexed="64"/>
      </patternFill>
    </fill>
    <fill>
      <patternFill patternType="solid">
        <fgColor rgb="FFFFC000"/>
        <bgColor indexed="64"/>
      </patternFill>
    </fill>
    <fill>
      <patternFill patternType="solid">
        <fgColor rgb="FFFCD5B4"/>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79"/>
        <bgColor indexed="64"/>
      </patternFill>
    </fill>
    <fill>
      <patternFill patternType="solid">
        <fgColor rgb="FFFFFFCC"/>
        <bgColor indexed="64"/>
      </patternFill>
    </fill>
    <fill>
      <patternFill patternType="solid">
        <fgColor rgb="FFFFFF99"/>
        <bgColor indexed="64"/>
      </patternFill>
    </fill>
    <fill>
      <patternFill patternType="solid">
        <fgColor theme="9" tint="0.39997558519241921"/>
        <bgColor indexed="64"/>
      </patternFill>
    </fill>
    <fill>
      <patternFill patternType="solid">
        <fgColor rgb="FF9999FF"/>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thin">
        <color indexed="64"/>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top style="hair">
        <color indexed="64"/>
      </top>
      <bottom/>
      <diagonal/>
    </border>
    <border>
      <left style="double">
        <color indexed="64"/>
      </left>
      <right/>
      <top style="thin">
        <color indexed="64"/>
      </top>
      <bottom style="thin">
        <color indexed="64"/>
      </bottom>
      <diagonal/>
    </border>
    <border>
      <left style="double">
        <color indexed="64"/>
      </left>
      <right style="hair">
        <color indexed="64"/>
      </right>
      <top/>
      <bottom style="thin">
        <color indexed="64"/>
      </bottom>
      <diagonal/>
    </border>
    <border>
      <left/>
      <right/>
      <top/>
      <bottom style="thin">
        <color indexed="64"/>
      </bottom>
      <diagonal/>
    </border>
    <border>
      <left/>
      <right/>
      <top style="thin">
        <color indexed="64"/>
      </top>
      <bottom/>
      <diagonal/>
    </border>
    <border>
      <left style="double">
        <color indexed="64"/>
      </left>
      <right/>
      <top style="thin">
        <color indexed="64"/>
      </top>
      <bottom/>
      <diagonal/>
    </border>
    <border>
      <left style="double">
        <color indexed="64"/>
      </left>
      <right/>
      <top/>
      <bottom/>
      <diagonal/>
    </border>
    <border>
      <left style="double">
        <color indexed="64"/>
      </left>
      <right style="hair">
        <color indexed="64"/>
      </right>
      <top style="thin">
        <color indexed="64"/>
      </top>
      <bottom style="hair">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dotted">
        <color theme="0"/>
      </bottom>
      <diagonal/>
    </border>
    <border>
      <left/>
      <right/>
      <top style="dotted">
        <color theme="0"/>
      </top>
      <bottom style="dotted">
        <color theme="0"/>
      </bottom>
      <diagonal/>
    </border>
    <border>
      <left style="double">
        <color indexed="64"/>
      </left>
      <right/>
      <top/>
      <bottom style="thin">
        <color theme="0"/>
      </bottom>
      <diagonal/>
    </border>
    <border>
      <left style="double">
        <color indexed="64"/>
      </left>
      <right/>
      <top style="thin">
        <color theme="0"/>
      </top>
      <bottom/>
      <diagonal/>
    </border>
    <border>
      <left style="thin">
        <color indexed="64"/>
      </left>
      <right/>
      <top/>
      <bottom style="thin">
        <color theme="0"/>
      </bottom>
      <diagonal/>
    </border>
    <border>
      <left style="thin">
        <color indexed="64"/>
      </left>
      <right/>
      <top style="thin">
        <color theme="0"/>
      </top>
      <bottom/>
      <diagonal/>
    </border>
    <border>
      <left style="thin">
        <color theme="0"/>
      </left>
      <right/>
      <top/>
      <bottom/>
      <diagonal/>
    </border>
    <border>
      <left style="thin">
        <color theme="0"/>
      </left>
      <right/>
      <top/>
      <bottom style="thin">
        <color indexed="64"/>
      </bottom>
      <diagonal/>
    </border>
    <border>
      <left style="thin">
        <color indexed="64"/>
      </left>
      <right style="thin">
        <color theme="0"/>
      </right>
      <top/>
      <bottom/>
      <diagonal/>
    </border>
    <border>
      <left style="thin">
        <color indexed="64"/>
      </left>
      <right style="thin">
        <color theme="0"/>
      </right>
      <top/>
      <bottom style="thin">
        <color indexed="64"/>
      </bottom>
      <diagonal/>
    </border>
  </borders>
  <cellStyleXfs count="3">
    <xf numFmtId="0" fontId="0" fillId="0" borderId="0"/>
    <xf numFmtId="44" fontId="3" fillId="0" borderId="0" applyFont="0" applyFill="0" applyBorder="0" applyAlignment="0" applyProtection="0"/>
    <xf numFmtId="44" fontId="45" fillId="0" borderId="0" applyFont="0" applyFill="0" applyBorder="0" applyAlignment="0" applyProtection="0"/>
  </cellStyleXfs>
  <cellXfs count="337">
    <xf numFmtId="0" fontId="0" fillId="0" borderId="0" xfId="0"/>
    <xf numFmtId="0" fontId="48" fillId="0" borderId="0" xfId="0" applyFont="1"/>
    <xf numFmtId="0" fontId="46" fillId="0" borderId="0" xfId="0" applyFont="1"/>
    <xf numFmtId="0" fontId="47" fillId="0" borderId="0" xfId="0" applyFont="1"/>
    <xf numFmtId="0" fontId="0" fillId="0" borderId="0" xfId="0" applyAlignment="1">
      <alignment horizontal="left"/>
    </xf>
    <xf numFmtId="44" fontId="48" fillId="0" borderId="0" xfId="0" applyNumberFormat="1" applyFont="1"/>
    <xf numFmtId="0" fontId="49" fillId="0" borderId="1" xfId="0" applyFont="1" applyBorder="1" applyAlignment="1" applyProtection="1">
      <alignment horizontal="center" vertical="center"/>
      <protection locked="0"/>
    </xf>
    <xf numFmtId="0" fontId="50" fillId="0" borderId="0" xfId="0" applyFont="1"/>
    <xf numFmtId="2" fontId="0" fillId="0" borderId="0" xfId="0" applyNumberFormat="1"/>
    <xf numFmtId="2" fontId="51" fillId="0" borderId="0" xfId="0" applyNumberFormat="1" applyFont="1" applyAlignment="1">
      <alignment vertical="center"/>
    </xf>
    <xf numFmtId="168" fontId="0" fillId="0" borderId="0" xfId="0" applyNumberFormat="1"/>
    <xf numFmtId="0" fontId="0" fillId="2" borderId="0" xfId="0" applyFill="1"/>
    <xf numFmtId="0" fontId="52" fillId="3" borderId="0" xfId="0" applyFont="1" applyFill="1"/>
    <xf numFmtId="0" fontId="48" fillId="3" borderId="0" xfId="0" applyFont="1" applyFill="1"/>
    <xf numFmtId="0" fontId="53" fillId="0" borderId="0" xfId="0" applyFont="1" applyAlignment="1">
      <alignment horizontal="left"/>
    </xf>
    <xf numFmtId="14" fontId="54" fillId="4" borderId="1" xfId="0" applyNumberFormat="1" applyFont="1" applyFill="1" applyBorder="1" applyAlignment="1" applyProtection="1">
      <alignment horizontal="center" vertical="center"/>
      <protection locked="0"/>
    </xf>
    <xf numFmtId="14" fontId="55" fillId="4" borderId="2" xfId="0" applyNumberFormat="1" applyFont="1" applyFill="1" applyBorder="1" applyAlignment="1" applyProtection="1">
      <alignment horizontal="center" vertical="center"/>
      <protection locked="0"/>
    </xf>
    <xf numFmtId="14" fontId="55" fillId="4" borderId="2" xfId="0" applyNumberFormat="1" applyFont="1" applyFill="1" applyBorder="1" applyAlignment="1" applyProtection="1">
      <alignment horizontal="center" vertical="center"/>
      <protection locked="0" hidden="1"/>
    </xf>
    <xf numFmtId="0" fontId="56" fillId="5" borderId="3" xfId="0" applyFont="1" applyFill="1" applyBorder="1" applyAlignment="1" applyProtection="1">
      <alignment horizontal="center" vertical="center"/>
      <protection locked="0"/>
    </xf>
    <xf numFmtId="0" fontId="53" fillId="0" borderId="0" xfId="0" applyFont="1"/>
    <xf numFmtId="0" fontId="55" fillId="2" borderId="4" xfId="0" applyFont="1" applyFill="1" applyBorder="1" applyAlignment="1">
      <alignment vertical="center"/>
    </xf>
    <xf numFmtId="0" fontId="55" fillId="2" borderId="5" xfId="0" applyFont="1" applyFill="1" applyBorder="1" applyAlignment="1">
      <alignment vertical="center"/>
    </xf>
    <xf numFmtId="44" fontId="55" fillId="3" borderId="6" xfId="2" applyFont="1" applyFill="1" applyBorder="1" applyAlignment="1" applyProtection="1">
      <alignment horizontal="center" vertical="center"/>
      <protection hidden="1"/>
    </xf>
    <xf numFmtId="44" fontId="55" fillId="4" borderId="6" xfId="2" applyFont="1" applyFill="1" applyBorder="1" applyAlignment="1" applyProtection="1">
      <alignment horizontal="center" vertical="center"/>
      <protection locked="0" hidden="1"/>
    </xf>
    <xf numFmtId="44" fontId="54" fillId="0" borderId="7" xfId="0" applyNumberFormat="1" applyFont="1" applyBorder="1"/>
    <xf numFmtId="44" fontId="55" fillId="6" borderId="8" xfId="0" applyNumberFormat="1" applyFont="1" applyFill="1" applyBorder="1" applyProtection="1">
      <protection hidden="1"/>
    </xf>
    <xf numFmtId="44" fontId="55" fillId="6" borderId="9" xfId="0" applyNumberFormat="1" applyFont="1" applyFill="1" applyBorder="1" applyProtection="1">
      <protection hidden="1"/>
    </xf>
    <xf numFmtId="0" fontId="54" fillId="6" borderId="10" xfId="0" applyFont="1" applyFill="1" applyBorder="1" applyAlignment="1">
      <alignment horizontal="center" vertical="center"/>
    </xf>
    <xf numFmtId="0" fontId="57" fillId="5" borderId="0" xfId="0" applyFont="1" applyFill="1" applyAlignment="1" applyProtection="1">
      <alignment horizontal="center" vertical="center"/>
      <protection locked="0"/>
    </xf>
    <xf numFmtId="0" fontId="53" fillId="0" borderId="10" xfId="0" applyFont="1" applyBorder="1"/>
    <xf numFmtId="0" fontId="55" fillId="2" borderId="11" xfId="0" applyFont="1" applyFill="1" applyBorder="1" applyAlignment="1">
      <alignment vertical="center"/>
    </xf>
    <xf numFmtId="0" fontId="55" fillId="2" borderId="12" xfId="0" applyFont="1" applyFill="1" applyBorder="1" applyAlignment="1">
      <alignment vertical="center"/>
    </xf>
    <xf numFmtId="44" fontId="55" fillId="3" borderId="13" xfId="2" applyFont="1" applyFill="1" applyBorder="1" applyAlignment="1" applyProtection="1">
      <alignment horizontal="center" vertical="center"/>
      <protection hidden="1"/>
    </xf>
    <xf numFmtId="44" fontId="55" fillId="4" borderId="13" xfId="2" applyFont="1" applyFill="1" applyBorder="1" applyAlignment="1" applyProtection="1">
      <alignment horizontal="center" vertical="center"/>
      <protection locked="0" hidden="1"/>
    </xf>
    <xf numFmtId="0" fontId="54" fillId="7" borderId="14" xfId="0" applyFont="1" applyFill="1" applyBorder="1" applyAlignment="1" applyProtection="1">
      <alignment horizontal="right"/>
      <protection hidden="1"/>
    </xf>
    <xf numFmtId="44" fontId="55" fillId="7" borderId="14" xfId="2" applyFont="1" applyFill="1" applyBorder="1" applyAlignment="1" applyProtection="1">
      <alignment horizontal="center" vertical="center"/>
      <protection hidden="1"/>
    </xf>
    <xf numFmtId="0" fontId="55" fillId="2" borderId="15" xfId="0" applyFont="1" applyFill="1" applyBorder="1" applyAlignment="1">
      <alignment vertical="center"/>
    </xf>
    <xf numFmtId="0" fontId="55" fillId="2" borderId="16" xfId="0" applyFont="1" applyFill="1" applyBorder="1" applyAlignment="1">
      <alignment vertical="center"/>
    </xf>
    <xf numFmtId="167" fontId="53" fillId="0" borderId="0" xfId="0" applyNumberFormat="1" applyFont="1"/>
    <xf numFmtId="0" fontId="58" fillId="8" borderId="5" xfId="0" applyFont="1" applyFill="1" applyBorder="1" applyAlignment="1" applyProtection="1">
      <alignment horizontal="center" vertical="center"/>
      <protection locked="0"/>
    </xf>
    <xf numFmtId="0" fontId="55" fillId="2" borderId="17" xfId="0" quotePrefix="1" applyFont="1" applyFill="1" applyBorder="1" applyAlignment="1" applyProtection="1">
      <alignment horizontal="center"/>
      <protection hidden="1"/>
    </xf>
    <xf numFmtId="44" fontId="59" fillId="0" borderId="0" xfId="0" applyNumberFormat="1" applyFont="1"/>
    <xf numFmtId="14" fontId="55" fillId="4" borderId="1" xfId="0" applyNumberFormat="1" applyFont="1" applyFill="1" applyBorder="1" applyAlignment="1" applyProtection="1">
      <alignment horizontal="center" vertical="center"/>
      <protection locked="0" hidden="1"/>
    </xf>
    <xf numFmtId="0" fontId="53" fillId="2" borderId="0" xfId="0" applyFont="1" applyFill="1"/>
    <xf numFmtId="44" fontId="53" fillId="0" borderId="0" xfId="2" applyFont="1"/>
    <xf numFmtId="166" fontId="60" fillId="9" borderId="18" xfId="0" applyNumberFormat="1" applyFont="1" applyFill="1" applyBorder="1" applyAlignment="1">
      <alignment vertical="center"/>
    </xf>
    <xf numFmtId="166" fontId="60" fillId="0" borderId="0" xfId="0" applyNumberFormat="1" applyFont="1" applyAlignment="1">
      <alignment vertical="center"/>
    </xf>
    <xf numFmtId="0" fontId="59" fillId="2" borderId="19" xfId="0" applyFont="1" applyFill="1" applyBorder="1" applyAlignment="1">
      <alignment horizontal="center" vertical="center"/>
    </xf>
    <xf numFmtId="0" fontId="55" fillId="3" borderId="20" xfId="0" applyFont="1" applyFill="1" applyBorder="1" applyProtection="1">
      <protection hidden="1"/>
    </xf>
    <xf numFmtId="2" fontId="55" fillId="3" borderId="21" xfId="0" applyNumberFormat="1" applyFont="1" applyFill="1" applyBorder="1" applyProtection="1">
      <protection hidden="1"/>
    </xf>
    <xf numFmtId="165" fontId="55" fillId="2" borderId="16" xfId="0" applyNumberFormat="1" applyFont="1" applyFill="1" applyBorder="1" applyAlignment="1">
      <alignment horizontal="center"/>
    </xf>
    <xf numFmtId="44" fontId="60" fillId="4" borderId="22" xfId="1" applyFont="1" applyFill="1" applyBorder="1" applyAlignment="1" applyProtection="1">
      <alignment vertical="center"/>
      <protection locked="0"/>
    </xf>
    <xf numFmtId="44" fontId="55" fillId="0" borderId="23" xfId="2" applyFont="1" applyBorder="1" applyProtection="1">
      <protection hidden="1"/>
    </xf>
    <xf numFmtId="0" fontId="59" fillId="0" borderId="0" xfId="0" applyFont="1"/>
    <xf numFmtId="44" fontId="60" fillId="4" borderId="24" xfId="1" applyFont="1" applyFill="1" applyBorder="1" applyAlignment="1" applyProtection="1">
      <alignment vertical="center"/>
      <protection locked="0"/>
    </xf>
    <xf numFmtId="44" fontId="55" fillId="0" borderId="25" xfId="2" applyFont="1" applyBorder="1" applyProtection="1">
      <protection hidden="1"/>
    </xf>
    <xf numFmtId="0" fontId="55" fillId="10" borderId="14" xfId="0" applyFont="1" applyFill="1" applyBorder="1" applyAlignment="1" applyProtection="1">
      <alignment horizontal="right"/>
      <protection hidden="1"/>
    </xf>
    <xf numFmtId="167" fontId="55" fillId="3" borderId="26" xfId="0" applyNumberFormat="1" applyFont="1" applyFill="1" applyBorder="1" applyAlignment="1" applyProtection="1">
      <alignment horizontal="center" vertical="center"/>
      <protection hidden="1"/>
    </xf>
    <xf numFmtId="0" fontId="61" fillId="0" borderId="0" xfId="0" applyFont="1"/>
    <xf numFmtId="0" fontId="55" fillId="3" borderId="0" xfId="0" applyFont="1" applyFill="1"/>
    <xf numFmtId="0" fontId="59" fillId="3" borderId="0" xfId="0" applyFont="1" applyFill="1"/>
    <xf numFmtId="0" fontId="53" fillId="7" borderId="0" xfId="0" applyFont="1" applyFill="1"/>
    <xf numFmtId="0" fontId="62" fillId="7" borderId="14" xfId="0" applyFont="1" applyFill="1" applyBorder="1" applyAlignment="1">
      <alignment horizontal="left" vertical="center"/>
    </xf>
    <xf numFmtId="0" fontId="53" fillId="0" borderId="14" xfId="0" applyFont="1" applyBorder="1"/>
    <xf numFmtId="166" fontId="55" fillId="9" borderId="18" xfId="0" applyNumberFormat="1" applyFont="1" applyFill="1" applyBorder="1" applyAlignment="1">
      <alignment vertical="center"/>
    </xf>
    <xf numFmtId="166" fontId="55" fillId="0" borderId="0" xfId="0" applyNumberFormat="1" applyFont="1" applyAlignment="1">
      <alignment vertical="center"/>
    </xf>
    <xf numFmtId="0" fontId="55" fillId="2" borderId="19" xfId="0" applyFont="1" applyFill="1" applyBorder="1" applyAlignment="1">
      <alignment horizontal="center" vertical="center"/>
    </xf>
    <xf numFmtId="0" fontId="55" fillId="0" borderId="20" xfId="0" applyFont="1" applyBorder="1" applyProtection="1">
      <protection hidden="1"/>
    </xf>
    <xf numFmtId="2" fontId="55" fillId="0" borderId="21" xfId="0" applyNumberFormat="1" applyFont="1" applyBorder="1" applyProtection="1">
      <protection hidden="1"/>
    </xf>
    <xf numFmtId="44" fontId="55" fillId="3" borderId="27" xfId="2" applyFont="1" applyFill="1" applyBorder="1" applyAlignment="1" applyProtection="1">
      <alignment horizontal="center" vertical="center"/>
      <protection hidden="1"/>
    </xf>
    <xf numFmtId="0" fontId="55" fillId="0" borderId="0" xfId="0" applyFont="1"/>
    <xf numFmtId="0" fontId="63" fillId="0" borderId="0" xfId="0" quotePrefix="1" applyFont="1"/>
    <xf numFmtId="44" fontId="54" fillId="7" borderId="14" xfId="2" applyFont="1" applyFill="1" applyBorder="1" applyProtection="1">
      <protection hidden="1"/>
    </xf>
    <xf numFmtId="44" fontId="55" fillId="10" borderId="14" xfId="2" applyFont="1" applyFill="1" applyBorder="1" applyProtection="1">
      <protection hidden="1"/>
    </xf>
    <xf numFmtId="44" fontId="62" fillId="10" borderId="3" xfId="2" applyFont="1" applyFill="1" applyBorder="1" applyProtection="1">
      <protection hidden="1"/>
    </xf>
    <xf numFmtId="44" fontId="55" fillId="10" borderId="3" xfId="2" applyFont="1" applyFill="1" applyBorder="1" applyProtection="1">
      <protection hidden="1"/>
    </xf>
    <xf numFmtId="0" fontId="60" fillId="11" borderId="17" xfId="0" applyFont="1" applyFill="1" applyBorder="1" applyAlignment="1" applyProtection="1">
      <alignment horizontal="center" vertical="center"/>
      <protection locked="0"/>
    </xf>
    <xf numFmtId="0" fontId="55" fillId="7" borderId="0" xfId="0" applyFont="1" applyFill="1" applyAlignment="1" applyProtection="1">
      <alignment horizontal="left"/>
      <protection hidden="1"/>
    </xf>
    <xf numFmtId="0" fontId="55" fillId="7" borderId="0" xfId="0" applyFont="1" applyFill="1" applyAlignment="1">
      <alignment horizontal="left" vertical="center"/>
    </xf>
    <xf numFmtId="17" fontId="54" fillId="2" borderId="28" xfId="0" applyNumberFormat="1" applyFont="1" applyFill="1" applyBorder="1" applyAlignment="1" applyProtection="1">
      <alignment horizontal="left"/>
      <protection hidden="1"/>
    </xf>
    <xf numFmtId="165" fontId="55" fillId="2" borderId="0" xfId="0" applyNumberFormat="1" applyFont="1" applyFill="1" applyAlignment="1">
      <alignment horizontal="center"/>
    </xf>
    <xf numFmtId="165" fontId="55" fillId="2" borderId="16" xfId="0" applyNumberFormat="1" applyFont="1" applyFill="1" applyBorder="1" applyAlignment="1">
      <alignment horizontal="left"/>
    </xf>
    <xf numFmtId="165" fontId="55" fillId="2" borderId="0" xfId="0" applyNumberFormat="1" applyFont="1" applyFill="1" applyAlignment="1">
      <alignment horizontal="left"/>
    </xf>
    <xf numFmtId="17" fontId="54" fillId="2" borderId="5" xfId="0" applyNumberFormat="1" applyFont="1" applyFill="1" applyBorder="1" applyAlignment="1" applyProtection="1">
      <alignment horizontal="left"/>
      <protection hidden="1"/>
    </xf>
    <xf numFmtId="17" fontId="54" fillId="2" borderId="29" xfId="0" applyNumberFormat="1" applyFont="1" applyFill="1" applyBorder="1" applyAlignment="1" applyProtection="1">
      <alignment horizontal="left"/>
      <protection hidden="1"/>
    </xf>
    <xf numFmtId="0" fontId="48" fillId="0" borderId="1" xfId="0" applyFont="1" applyBorder="1" applyAlignment="1">
      <alignment horizontal="center"/>
    </xf>
    <xf numFmtId="0" fontId="55" fillId="11" borderId="17" xfId="0" applyFont="1" applyFill="1" applyBorder="1" applyAlignment="1" applyProtection="1">
      <alignment horizontal="center" vertical="center"/>
      <protection locked="0"/>
    </xf>
    <xf numFmtId="0" fontId="55" fillId="11" borderId="30" xfId="0" applyFont="1" applyFill="1" applyBorder="1" applyAlignment="1" applyProtection="1">
      <alignment horizontal="center" vertical="center"/>
      <protection locked="0"/>
    </xf>
    <xf numFmtId="14" fontId="55" fillId="12" borderId="1" xfId="0" applyNumberFormat="1" applyFont="1" applyFill="1" applyBorder="1" applyAlignment="1" applyProtection="1">
      <alignment horizontal="center" vertical="center"/>
      <protection locked="0" hidden="1"/>
    </xf>
    <xf numFmtId="0" fontId="64" fillId="0" borderId="0" xfId="0" applyFont="1" applyAlignment="1">
      <alignment vertical="center"/>
    </xf>
    <xf numFmtId="0" fontId="64" fillId="13" borderId="31" xfId="0" applyFont="1" applyFill="1" applyBorder="1" applyAlignment="1">
      <alignment vertical="center"/>
    </xf>
    <xf numFmtId="0" fontId="65" fillId="0" borderId="32" xfId="0" applyFont="1" applyBorder="1" applyAlignment="1">
      <alignment horizontal="center" vertical="center"/>
    </xf>
    <xf numFmtId="0" fontId="0" fillId="0" borderId="32" xfId="0" applyBorder="1" applyAlignment="1">
      <alignment horizontal="center" vertical="center"/>
    </xf>
    <xf numFmtId="0" fontId="66" fillId="0" borderId="0" xfId="0" quotePrefix="1" applyFont="1"/>
    <xf numFmtId="0" fontId="67" fillId="4" borderId="1"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protection hidden="1"/>
    </xf>
    <xf numFmtId="0" fontId="58" fillId="4" borderId="33" xfId="0" applyFont="1" applyFill="1" applyBorder="1" applyAlignment="1" applyProtection="1">
      <alignment horizontal="center" vertical="center"/>
      <protection locked="0"/>
    </xf>
    <xf numFmtId="0" fontId="68" fillId="0" borderId="0" xfId="0" applyFont="1"/>
    <xf numFmtId="0" fontId="0" fillId="0" borderId="0" xfId="0" applyAlignment="1">
      <alignment horizontal="center"/>
    </xf>
    <xf numFmtId="0" fontId="69" fillId="0" borderId="0" xfId="0" applyFont="1" applyAlignment="1">
      <alignment horizontal="center" vertical="center"/>
    </xf>
    <xf numFmtId="0" fontId="51" fillId="0" borderId="0" xfId="0" applyFont="1" applyAlignment="1">
      <alignment horizontal="center" vertical="center"/>
    </xf>
    <xf numFmtId="0" fontId="48" fillId="0" borderId="0" xfId="0" applyFont="1" applyAlignment="1">
      <alignment horizontal="center"/>
    </xf>
    <xf numFmtId="0" fontId="70" fillId="0" borderId="0" xfId="0" applyFont="1" applyAlignment="1">
      <alignment horizontal="center"/>
    </xf>
    <xf numFmtId="0" fontId="71" fillId="0" borderId="0" xfId="0" applyFont="1" applyAlignment="1">
      <alignment horizontal="center" vertical="center"/>
    </xf>
    <xf numFmtId="0" fontId="72" fillId="0" borderId="0" xfId="0" applyFont="1" applyAlignment="1">
      <alignment horizontal="center"/>
    </xf>
    <xf numFmtId="0" fontId="72" fillId="0" borderId="0" xfId="0" applyFont="1" applyAlignment="1">
      <alignment horizontal="center" vertical="center"/>
    </xf>
    <xf numFmtId="0" fontId="52" fillId="0" borderId="0" xfId="0" applyFont="1" applyAlignment="1">
      <alignment horizontal="center"/>
    </xf>
    <xf numFmtId="0" fontId="65" fillId="0" borderId="0" xfId="0" applyFont="1" applyAlignment="1">
      <alignment horizontal="center" vertical="center"/>
    </xf>
    <xf numFmtId="0" fontId="55" fillId="2" borderId="14" xfId="0" applyFont="1" applyFill="1" applyBorder="1" applyAlignment="1">
      <alignment horizontal="right" vertical="center"/>
    </xf>
    <xf numFmtId="9" fontId="55" fillId="0" borderId="0" xfId="1" applyNumberFormat="1" applyFont="1" applyAlignment="1">
      <alignment horizontal="center" vertical="center" wrapText="1"/>
    </xf>
    <xf numFmtId="44" fontId="59" fillId="12" borderId="34" xfId="0" applyNumberFormat="1" applyFont="1" applyFill="1" applyBorder="1" applyProtection="1">
      <protection locked="0"/>
    </xf>
    <xf numFmtId="0" fontId="60" fillId="6" borderId="35" xfId="0" applyFont="1" applyFill="1" applyBorder="1"/>
    <xf numFmtId="0" fontId="55" fillId="6" borderId="36" xfId="0" applyFont="1" applyFill="1" applyBorder="1"/>
    <xf numFmtId="164" fontId="55" fillId="6" borderId="8" xfId="0" applyNumberFormat="1" applyFont="1" applyFill="1" applyBorder="1" applyProtection="1">
      <protection hidden="1"/>
    </xf>
    <xf numFmtId="0" fontId="73" fillId="14" borderId="37" xfId="0" applyFont="1" applyFill="1" applyBorder="1"/>
    <xf numFmtId="44" fontId="60" fillId="14" borderId="3" xfId="0" applyNumberFormat="1" applyFont="1" applyFill="1" applyBorder="1" applyProtection="1">
      <protection hidden="1"/>
    </xf>
    <xf numFmtId="0" fontId="55" fillId="6" borderId="38" xfId="0" applyFont="1" applyFill="1" applyBorder="1"/>
    <xf numFmtId="44" fontId="56" fillId="15" borderId="62" xfId="2" quotePrefix="1" applyFont="1" applyFill="1" applyBorder="1"/>
    <xf numFmtId="44" fontId="74" fillId="15" borderId="63" xfId="2" applyFont="1" applyFill="1" applyBorder="1"/>
    <xf numFmtId="0" fontId="74" fillId="15" borderId="64" xfId="0" applyFont="1" applyFill="1" applyBorder="1"/>
    <xf numFmtId="0" fontId="75" fillId="15" borderId="65" xfId="0" applyFont="1" applyFill="1" applyBorder="1"/>
    <xf numFmtId="0" fontId="76" fillId="0" borderId="0" xfId="0" applyFont="1"/>
    <xf numFmtId="0" fontId="55" fillId="0" borderId="0" xfId="0" applyFont="1" applyAlignment="1" applyProtection="1">
      <alignment horizontal="right"/>
      <protection hidden="1"/>
    </xf>
    <xf numFmtId="0" fontId="55" fillId="0" borderId="39" xfId="0" applyFont="1" applyBorder="1" applyAlignment="1" applyProtection="1">
      <alignment horizontal="right"/>
      <protection hidden="1"/>
    </xf>
    <xf numFmtId="44" fontId="55" fillId="0" borderId="39" xfId="2" applyFont="1" applyBorder="1" applyProtection="1">
      <protection hidden="1"/>
    </xf>
    <xf numFmtId="44" fontId="55" fillId="0" borderId="0" xfId="2" applyFont="1" applyProtection="1">
      <protection hidden="1"/>
    </xf>
    <xf numFmtId="0" fontId="55" fillId="0" borderId="40" xfId="0" applyFont="1" applyBorder="1" applyAlignment="1" applyProtection="1">
      <alignment horizontal="right"/>
      <protection hidden="1"/>
    </xf>
    <xf numFmtId="44" fontId="62" fillId="0" borderId="0" xfId="2" applyFont="1" applyProtection="1">
      <protection hidden="1"/>
    </xf>
    <xf numFmtId="0" fontId="0" fillId="0" borderId="41" xfId="0" applyBorder="1"/>
    <xf numFmtId="0" fontId="0" fillId="0" borderId="40" xfId="0" applyBorder="1"/>
    <xf numFmtId="0" fontId="54" fillId="6" borderId="42" xfId="0" applyFont="1" applyFill="1" applyBorder="1" applyAlignment="1">
      <alignment horizontal="center" vertical="center"/>
    </xf>
    <xf numFmtId="0" fontId="0" fillId="0" borderId="42" xfId="0" applyBorder="1"/>
    <xf numFmtId="0" fontId="53" fillId="0" borderId="42" xfId="0" applyFont="1" applyBorder="1"/>
    <xf numFmtId="1" fontId="53" fillId="0" borderId="0" xfId="0" applyNumberFormat="1" applyFont="1"/>
    <xf numFmtId="0" fontId="55" fillId="16" borderId="43" xfId="0" applyFont="1" applyFill="1" applyBorder="1"/>
    <xf numFmtId="0" fontId="55" fillId="17" borderId="3" xfId="0" applyFont="1" applyFill="1" applyBorder="1" applyAlignment="1">
      <alignment horizontal="center" vertical="center"/>
    </xf>
    <xf numFmtId="14" fontId="77" fillId="18" borderId="14" xfId="0" applyNumberFormat="1" applyFont="1" applyFill="1" applyBorder="1" applyAlignment="1" applyProtection="1">
      <alignment horizontal="center" vertical="center" wrapText="1"/>
      <protection locked="0"/>
    </xf>
    <xf numFmtId="0" fontId="55" fillId="7" borderId="0" xfId="0" applyFont="1" applyFill="1" applyAlignment="1" applyProtection="1">
      <alignment horizontal="left" vertical="center"/>
      <protection hidden="1"/>
    </xf>
    <xf numFmtId="0" fontId="55" fillId="17" borderId="44" xfId="0" applyFont="1" applyFill="1" applyBorder="1" applyAlignment="1">
      <alignment horizontal="center" vertical="center"/>
    </xf>
    <xf numFmtId="166" fontId="60" fillId="9" borderId="0" xfId="0" applyNumberFormat="1" applyFont="1" applyFill="1" applyAlignment="1">
      <alignment vertical="center"/>
    </xf>
    <xf numFmtId="2" fontId="55" fillId="3" borderId="20" xfId="0" applyNumberFormat="1" applyFont="1" applyFill="1" applyBorder="1" applyProtection="1">
      <protection hidden="1"/>
    </xf>
    <xf numFmtId="44" fontId="55" fillId="0" borderId="5" xfId="2" applyFont="1" applyBorder="1" applyProtection="1">
      <protection hidden="1"/>
    </xf>
    <xf numFmtId="166" fontId="55" fillId="9" borderId="0" xfId="0" applyNumberFormat="1" applyFont="1" applyFill="1" applyAlignment="1">
      <alignment vertical="center"/>
    </xf>
    <xf numFmtId="2" fontId="55" fillId="0" borderId="20" xfId="0" applyNumberFormat="1" applyFont="1" applyBorder="1" applyProtection="1">
      <protection hidden="1"/>
    </xf>
    <xf numFmtId="0" fontId="65" fillId="10" borderId="3" xfId="0" applyFont="1" applyFill="1" applyBorder="1"/>
    <xf numFmtId="0" fontId="65" fillId="13" borderId="3" xfId="0" applyFont="1" applyFill="1" applyBorder="1" applyAlignment="1">
      <alignment horizontal="left"/>
    </xf>
    <xf numFmtId="1" fontId="55" fillId="10" borderId="45" xfId="0" applyNumberFormat="1" applyFont="1" applyFill="1" applyBorder="1" applyAlignment="1" applyProtection="1">
      <alignment horizontal="right"/>
      <protection hidden="1"/>
    </xf>
    <xf numFmtId="0" fontId="60" fillId="13" borderId="46" xfId="0" applyFont="1" applyFill="1" applyBorder="1" applyAlignment="1" applyProtection="1">
      <alignment horizontal="right"/>
      <protection hidden="1"/>
    </xf>
    <xf numFmtId="0" fontId="55" fillId="16" borderId="47" xfId="0" applyFont="1" applyFill="1" applyBorder="1"/>
    <xf numFmtId="0" fontId="60" fillId="6" borderId="22" xfId="0" applyFont="1" applyFill="1" applyBorder="1"/>
    <xf numFmtId="0" fontId="55" fillId="6" borderId="11" xfId="0" applyFont="1" applyFill="1" applyBorder="1"/>
    <xf numFmtId="0" fontId="73" fillId="14" borderId="45" xfId="0" applyFont="1" applyFill="1" applyBorder="1"/>
    <xf numFmtId="0" fontId="55" fillId="6" borderId="48" xfId="0" applyFont="1" applyFill="1" applyBorder="1"/>
    <xf numFmtId="0" fontId="74" fillId="15" borderId="66" xfId="0" applyFont="1" applyFill="1" applyBorder="1"/>
    <xf numFmtId="0" fontId="75" fillId="15" borderId="67" xfId="0" applyFont="1" applyFill="1" applyBorder="1"/>
    <xf numFmtId="0" fontId="55" fillId="17" borderId="45" xfId="0" applyFont="1" applyFill="1" applyBorder="1" applyAlignment="1">
      <alignment horizontal="center" vertical="center"/>
    </xf>
    <xf numFmtId="0" fontId="54" fillId="11" borderId="49" xfId="0" applyFont="1" applyFill="1" applyBorder="1" applyAlignment="1" applyProtection="1">
      <alignment horizontal="center" vertical="center"/>
      <protection locked="0"/>
    </xf>
    <xf numFmtId="0" fontId="78" fillId="2" borderId="21" xfId="0" quotePrefix="1" applyFont="1" applyFill="1" applyBorder="1" applyAlignment="1">
      <alignment horizontal="left" vertical="center"/>
    </xf>
    <xf numFmtId="17" fontId="54" fillId="2" borderId="16" xfId="0" applyNumberFormat="1" applyFont="1" applyFill="1" applyBorder="1" applyAlignment="1" applyProtection="1">
      <alignment horizontal="left"/>
      <protection hidden="1"/>
    </xf>
    <xf numFmtId="0" fontId="55" fillId="3" borderId="50" xfId="0" applyFont="1" applyFill="1" applyBorder="1"/>
    <xf numFmtId="0" fontId="55" fillId="7" borderId="15" xfId="0" applyFont="1" applyFill="1" applyBorder="1" applyAlignment="1">
      <alignment vertical="center"/>
    </xf>
    <xf numFmtId="0" fontId="55" fillId="7" borderId="16" xfId="0" applyFont="1" applyFill="1" applyBorder="1" applyAlignment="1">
      <alignment vertical="center"/>
    </xf>
    <xf numFmtId="0" fontId="58" fillId="7" borderId="4" xfId="0" applyFont="1" applyFill="1" applyBorder="1" applyAlignment="1">
      <alignment vertical="center"/>
    </xf>
    <xf numFmtId="0" fontId="58" fillId="7" borderId="5" xfId="0" applyFont="1" applyFill="1" applyBorder="1" applyAlignment="1">
      <alignment vertical="center"/>
    </xf>
    <xf numFmtId="0" fontId="59" fillId="7" borderId="5" xfId="0" applyFont="1" applyFill="1" applyBorder="1"/>
    <xf numFmtId="0" fontId="79" fillId="7" borderId="2" xfId="0" applyFont="1" applyFill="1" applyBorder="1" applyAlignment="1" applyProtection="1">
      <alignment horizontal="center" vertical="center"/>
      <protection hidden="1"/>
    </xf>
    <xf numFmtId="0" fontId="55" fillId="7" borderId="17" xfId="0" applyFont="1" applyFill="1" applyBorder="1" applyAlignment="1" applyProtection="1">
      <alignment horizontal="center" vertical="center"/>
      <protection hidden="1"/>
    </xf>
    <xf numFmtId="1" fontId="55" fillId="7" borderId="45" xfId="0" applyNumberFormat="1" applyFont="1" applyFill="1" applyBorder="1" applyAlignment="1" applyProtection="1">
      <alignment horizontal="right"/>
      <protection hidden="1"/>
    </xf>
    <xf numFmtId="0" fontId="65" fillId="7" borderId="3" xfId="0" applyFont="1" applyFill="1" applyBorder="1"/>
    <xf numFmtId="1" fontId="60" fillId="7" borderId="30" xfId="0" applyNumberFormat="1" applyFont="1" applyFill="1" applyBorder="1" applyAlignment="1" applyProtection="1">
      <alignment horizontal="center" vertical="center"/>
      <protection hidden="1"/>
    </xf>
    <xf numFmtId="0" fontId="80" fillId="7" borderId="16" xfId="0" applyFont="1" applyFill="1" applyBorder="1" applyAlignment="1" applyProtection="1">
      <alignment vertical="center"/>
      <protection hidden="1"/>
    </xf>
    <xf numFmtId="0" fontId="58" fillId="7" borderId="4" xfId="0" applyFont="1" applyFill="1" applyBorder="1" applyAlignment="1" applyProtection="1">
      <alignment vertical="center"/>
      <protection hidden="1"/>
    </xf>
    <xf numFmtId="0" fontId="58" fillId="7" borderId="5" xfId="0" applyFont="1" applyFill="1" applyBorder="1" applyAlignment="1" applyProtection="1">
      <alignment vertical="center"/>
      <protection hidden="1"/>
    </xf>
    <xf numFmtId="0" fontId="58" fillId="7" borderId="5" xfId="0" applyFont="1" applyFill="1" applyBorder="1" applyAlignment="1" applyProtection="1">
      <alignment horizontal="center" vertical="center"/>
      <protection hidden="1"/>
    </xf>
    <xf numFmtId="0" fontId="81" fillId="7" borderId="17" xfId="0" applyFont="1" applyFill="1" applyBorder="1" applyAlignment="1" applyProtection="1">
      <alignment horizontal="center" vertical="center"/>
      <protection hidden="1"/>
    </xf>
    <xf numFmtId="0" fontId="60" fillId="7" borderId="51" xfId="0" applyFont="1" applyFill="1" applyBorder="1" applyAlignment="1">
      <alignment horizontal="left" vertical="center"/>
    </xf>
    <xf numFmtId="0" fontId="82" fillId="7" borderId="4" xfId="0" applyFont="1" applyFill="1" applyBorder="1" applyAlignment="1" applyProtection="1">
      <alignment vertical="center"/>
      <protection hidden="1"/>
    </xf>
    <xf numFmtId="0" fontId="82" fillId="7" borderId="5" xfId="0" applyFont="1" applyFill="1" applyBorder="1" applyAlignment="1" applyProtection="1">
      <alignment vertical="center"/>
      <protection hidden="1"/>
    </xf>
    <xf numFmtId="0" fontId="82" fillId="7" borderId="5" xfId="0" applyFont="1" applyFill="1" applyBorder="1" applyAlignment="1" applyProtection="1">
      <alignment horizontal="center" vertical="center"/>
      <protection hidden="1"/>
    </xf>
    <xf numFmtId="0" fontId="83" fillId="7" borderId="17" xfId="0" applyFont="1" applyFill="1" applyBorder="1" applyAlignment="1" applyProtection="1">
      <alignment horizontal="center" vertical="center"/>
      <protection hidden="1"/>
    </xf>
    <xf numFmtId="44" fontId="55" fillId="4" borderId="6" xfId="2" applyFont="1" applyFill="1" applyBorder="1" applyAlignment="1" applyProtection="1">
      <alignment horizontal="center" vertical="center"/>
      <protection locked="0"/>
    </xf>
    <xf numFmtId="44" fontId="55" fillId="4" borderId="27" xfId="2" applyFont="1" applyFill="1" applyBorder="1" applyAlignment="1" applyProtection="1">
      <alignment horizontal="center" vertical="center"/>
      <protection locked="0"/>
    </xf>
    <xf numFmtId="44" fontId="55" fillId="4" borderId="13" xfId="2" applyFont="1" applyFill="1" applyBorder="1" applyAlignment="1" applyProtection="1">
      <alignment horizontal="center" vertical="center"/>
      <protection locked="0"/>
    </xf>
    <xf numFmtId="1" fontId="60" fillId="13" borderId="46" xfId="0" applyNumberFormat="1" applyFont="1" applyFill="1" applyBorder="1" applyAlignment="1" applyProtection="1">
      <alignment horizontal="right"/>
      <protection hidden="1"/>
    </xf>
    <xf numFmtId="0" fontId="55" fillId="17" borderId="52" xfId="0" applyFont="1" applyFill="1" applyBorder="1" applyAlignment="1">
      <alignment horizontal="center" vertical="center"/>
    </xf>
    <xf numFmtId="14" fontId="77" fillId="18" borderId="52" xfId="0" applyNumberFormat="1" applyFont="1" applyFill="1" applyBorder="1" applyAlignment="1" applyProtection="1">
      <alignment horizontal="center" vertical="center" wrapText="1"/>
      <protection locked="0"/>
    </xf>
    <xf numFmtId="0" fontId="84" fillId="2" borderId="19" xfId="0" applyFont="1" applyFill="1" applyBorder="1" applyAlignment="1" applyProtection="1">
      <alignment horizontal="center" vertical="center"/>
      <protection hidden="1"/>
    </xf>
    <xf numFmtId="0" fontId="85" fillId="2" borderId="50" xfId="0" applyFont="1" applyFill="1" applyBorder="1" applyAlignment="1">
      <alignment vertical="center"/>
    </xf>
    <xf numFmtId="0" fontId="85" fillId="2" borderId="20" xfId="0" applyFont="1" applyFill="1" applyBorder="1" applyAlignment="1">
      <alignment vertical="center"/>
    </xf>
    <xf numFmtId="0" fontId="84" fillId="2" borderId="21" xfId="0" applyFont="1" applyFill="1" applyBorder="1" applyAlignment="1">
      <alignment horizontal="center" vertical="center"/>
    </xf>
    <xf numFmtId="0" fontId="86" fillId="2" borderId="50" xfId="0" applyFont="1" applyFill="1" applyBorder="1" applyAlignment="1">
      <alignment vertical="center"/>
    </xf>
    <xf numFmtId="0" fontId="86" fillId="2" borderId="20" xfId="0" applyFont="1" applyFill="1" applyBorder="1" applyAlignment="1">
      <alignment vertical="center"/>
    </xf>
    <xf numFmtId="0" fontId="60" fillId="2" borderId="21" xfId="0" applyFont="1" applyFill="1" applyBorder="1" applyAlignment="1">
      <alignment horizontal="center" vertical="center"/>
    </xf>
    <xf numFmtId="0" fontId="60" fillId="2" borderId="19" xfId="0" applyFont="1" applyFill="1" applyBorder="1" applyAlignment="1" applyProtection="1">
      <alignment horizontal="center" vertical="center"/>
      <protection hidden="1"/>
    </xf>
    <xf numFmtId="0" fontId="87" fillId="0" borderId="3" xfId="0" applyFont="1" applyBorder="1" applyAlignment="1" applyProtection="1">
      <alignment horizontal="center"/>
      <protection locked="0"/>
    </xf>
    <xf numFmtId="0" fontId="54" fillId="4" borderId="0" xfId="0" applyFont="1" applyFill="1" applyAlignment="1">
      <alignment horizontal="left" vertical="top"/>
    </xf>
    <xf numFmtId="0" fontId="54" fillId="8" borderId="0" xfId="0" applyFont="1" applyFill="1" applyAlignment="1">
      <alignment horizontal="left" vertical="top"/>
    </xf>
    <xf numFmtId="0" fontId="0" fillId="4" borderId="4" xfId="0" applyFill="1" applyBorder="1" applyAlignment="1" applyProtection="1">
      <alignment horizontal="center"/>
      <protection locked="0"/>
    </xf>
    <xf numFmtId="0" fontId="0" fillId="4" borderId="53" xfId="0" applyFill="1" applyBorder="1" applyAlignment="1" applyProtection="1">
      <alignment horizontal="center"/>
      <protection locked="0"/>
    </xf>
    <xf numFmtId="0" fontId="63" fillId="25" borderId="45" xfId="0" applyFont="1" applyFill="1" applyBorder="1" applyAlignment="1">
      <alignment horizontal="center" vertical="center"/>
    </xf>
    <xf numFmtId="0" fontId="63" fillId="25" borderId="14" xfId="0" applyFont="1" applyFill="1" applyBorder="1" applyAlignment="1">
      <alignment horizontal="center" vertical="center"/>
    </xf>
    <xf numFmtId="0" fontId="63" fillId="25" borderId="3" xfId="0" applyFont="1" applyFill="1" applyBorder="1" applyAlignment="1">
      <alignment horizontal="center" vertical="center"/>
    </xf>
    <xf numFmtId="0" fontId="49" fillId="0" borderId="10" xfId="0" applyFont="1" applyBorder="1" applyAlignment="1">
      <alignment horizontal="center"/>
    </xf>
    <xf numFmtId="0" fontId="49" fillId="0" borderId="0" xfId="0" applyFont="1" applyAlignment="1">
      <alignment horizontal="center"/>
    </xf>
    <xf numFmtId="0" fontId="86" fillId="7" borderId="56" xfId="0" applyFont="1" applyFill="1" applyBorder="1" applyAlignment="1">
      <alignment horizontal="center" vertical="center"/>
    </xf>
    <xf numFmtId="0" fontId="86" fillId="7" borderId="51" xfId="0" applyFont="1" applyFill="1" applyBorder="1" applyAlignment="1">
      <alignment horizontal="center" vertical="center"/>
    </xf>
    <xf numFmtId="0" fontId="86" fillId="7" borderId="59" xfId="0" applyFont="1" applyFill="1" applyBorder="1" applyAlignment="1">
      <alignment horizontal="center" vertical="center"/>
    </xf>
    <xf numFmtId="0" fontId="99" fillId="0" borderId="10" xfId="0" applyFont="1" applyBorder="1" applyAlignment="1">
      <alignment horizontal="left"/>
    </xf>
    <xf numFmtId="0" fontId="99" fillId="0" borderId="0" xfId="0" applyFont="1" applyAlignment="1">
      <alignment horizontal="left"/>
    </xf>
    <xf numFmtId="14" fontId="77" fillId="18" borderId="45" xfId="0" applyNumberFormat="1" applyFont="1" applyFill="1" applyBorder="1" applyAlignment="1" applyProtection="1">
      <alignment horizontal="center" vertical="center" wrapText="1"/>
      <protection locked="0"/>
    </xf>
    <xf numFmtId="14" fontId="77" fillId="18" borderId="14" xfId="0" applyNumberFormat="1" applyFont="1" applyFill="1" applyBorder="1" applyAlignment="1" applyProtection="1">
      <alignment horizontal="center" vertical="center" wrapText="1"/>
      <protection locked="0"/>
    </xf>
    <xf numFmtId="14" fontId="77" fillId="18" borderId="3" xfId="0" applyNumberFormat="1" applyFont="1" applyFill="1" applyBorder="1" applyAlignment="1" applyProtection="1">
      <alignment horizontal="center" vertical="center" wrapText="1"/>
      <protection locked="0"/>
    </xf>
    <xf numFmtId="0" fontId="98" fillId="23" borderId="0" xfId="0" applyFont="1" applyFill="1" applyAlignment="1">
      <alignment horizontal="center" vertical="center"/>
    </xf>
    <xf numFmtId="0" fontId="54" fillId="0" borderId="42" xfId="0" applyFont="1" applyBorder="1" applyAlignment="1">
      <alignment horizontal="center"/>
    </xf>
    <xf numFmtId="0" fontId="54" fillId="0" borderId="0" xfId="0" applyFont="1" applyAlignment="1">
      <alignment horizontal="center"/>
    </xf>
    <xf numFmtId="44" fontId="55" fillId="16" borderId="1" xfId="1" applyFont="1" applyFill="1" applyBorder="1" applyAlignment="1">
      <alignment horizontal="center" vertical="center" wrapText="1"/>
    </xf>
    <xf numFmtId="0" fontId="62" fillId="7" borderId="45" xfId="0" applyFont="1" applyFill="1" applyBorder="1" applyAlignment="1">
      <alignment horizontal="center" vertical="center"/>
    </xf>
    <xf numFmtId="0" fontId="62" fillId="7" borderId="14" xfId="0" applyFont="1" applyFill="1" applyBorder="1" applyAlignment="1">
      <alignment horizontal="center" vertical="center"/>
    </xf>
    <xf numFmtId="0" fontId="62" fillId="7" borderId="3" xfId="0" applyFont="1" applyFill="1" applyBorder="1" applyAlignment="1">
      <alignment horizontal="center" vertical="center"/>
    </xf>
    <xf numFmtId="0" fontId="60" fillId="2" borderId="44" xfId="0" applyFont="1" applyFill="1" applyBorder="1" applyAlignment="1">
      <alignment horizontal="center" vertical="center"/>
    </xf>
    <xf numFmtId="0" fontId="60" fillId="2" borderId="55" xfId="0" applyFont="1" applyFill="1" applyBorder="1" applyAlignment="1">
      <alignment horizontal="center" vertical="center"/>
    </xf>
    <xf numFmtId="0" fontId="60" fillId="2" borderId="46" xfId="0" applyFont="1" applyFill="1" applyBorder="1" applyAlignment="1">
      <alignment horizontal="center" vertical="center"/>
    </xf>
    <xf numFmtId="0" fontId="60" fillId="2" borderId="29" xfId="0" applyFont="1" applyFill="1" applyBorder="1" applyAlignment="1">
      <alignment horizontal="center" vertical="center"/>
    </xf>
    <xf numFmtId="0" fontId="58" fillId="24" borderId="4" xfId="0" applyFont="1" applyFill="1" applyBorder="1" applyAlignment="1">
      <alignment horizontal="left" vertical="center"/>
    </xf>
    <xf numFmtId="0" fontId="58" fillId="24" borderId="5" xfId="0" applyFont="1" applyFill="1" applyBorder="1" applyAlignment="1">
      <alignment horizontal="left" vertical="center"/>
    </xf>
    <xf numFmtId="9" fontId="55" fillId="16" borderId="2" xfId="1" applyNumberFormat="1" applyFont="1" applyFill="1" applyBorder="1" applyAlignment="1">
      <alignment horizontal="center" vertical="center" wrapText="1"/>
    </xf>
    <xf numFmtId="9" fontId="55" fillId="16" borderId="54" xfId="1" applyNumberFormat="1" applyFont="1" applyFill="1" applyBorder="1" applyAlignment="1">
      <alignment horizontal="center" vertical="center" wrapText="1"/>
    </xf>
    <xf numFmtId="9" fontId="55" fillId="16" borderId="57" xfId="1" applyNumberFormat="1" applyFont="1" applyFill="1" applyBorder="1" applyAlignment="1">
      <alignment horizontal="center" vertical="center" wrapText="1"/>
    </xf>
    <xf numFmtId="9" fontId="55" fillId="16" borderId="58" xfId="1" applyNumberFormat="1" applyFont="1" applyFill="1" applyBorder="1" applyAlignment="1">
      <alignment horizontal="center" vertical="center" wrapText="1"/>
    </xf>
    <xf numFmtId="0" fontId="96" fillId="0" borderId="0" xfId="0" applyFont="1" applyAlignment="1">
      <alignment horizontal="center" vertical="center"/>
    </xf>
    <xf numFmtId="0" fontId="0" fillId="4" borderId="0" xfId="0" applyFill="1" applyAlignment="1" applyProtection="1">
      <alignment horizontal="center"/>
      <protection locked="0"/>
    </xf>
    <xf numFmtId="0" fontId="55" fillId="7" borderId="0" xfId="0" applyFont="1" applyFill="1" applyAlignment="1">
      <alignment horizontal="left" vertical="center"/>
    </xf>
    <xf numFmtId="0" fontId="73" fillId="2" borderId="45" xfId="0" applyFont="1" applyFill="1" applyBorder="1" applyAlignment="1">
      <alignment horizontal="center" vertical="center"/>
    </xf>
    <xf numFmtId="0" fontId="73" fillId="2" borderId="14" xfId="0" applyFont="1" applyFill="1" applyBorder="1" applyAlignment="1">
      <alignment horizontal="center" vertical="center"/>
    </xf>
    <xf numFmtId="0" fontId="73" fillId="2" borderId="3" xfId="0" applyFont="1" applyFill="1" applyBorder="1" applyAlignment="1">
      <alignment horizontal="center" vertical="center"/>
    </xf>
    <xf numFmtId="0" fontId="97" fillId="0" borderId="45" xfId="0" applyFont="1" applyBorder="1" applyAlignment="1">
      <alignment horizontal="center" vertical="center"/>
    </xf>
    <xf numFmtId="0" fontId="97" fillId="0" borderId="14" xfId="0" applyFont="1" applyBorder="1" applyAlignment="1">
      <alignment horizontal="center" vertical="center"/>
    </xf>
    <xf numFmtId="0" fontId="60" fillId="7" borderId="56" xfId="0" applyFont="1" applyFill="1" applyBorder="1" applyAlignment="1">
      <alignment horizontal="left" vertical="center"/>
    </xf>
    <xf numFmtId="0" fontId="60" fillId="7" borderId="51" xfId="0" applyFont="1" applyFill="1" applyBorder="1" applyAlignment="1">
      <alignment horizontal="left" vertical="center"/>
    </xf>
    <xf numFmtId="0" fontId="55" fillId="6" borderId="54" xfId="0" applyFont="1" applyFill="1" applyBorder="1" applyAlignment="1">
      <alignment horizontal="center" vertical="center"/>
    </xf>
    <xf numFmtId="0" fontId="55" fillId="6" borderId="1" xfId="0" applyFont="1" applyFill="1" applyBorder="1" applyAlignment="1">
      <alignment horizontal="center" vertical="center"/>
    </xf>
    <xf numFmtId="44" fontId="92" fillId="0" borderId="0" xfId="2" applyFont="1" applyAlignment="1" applyProtection="1">
      <alignment horizontal="center" vertical="center"/>
      <protection hidden="1"/>
    </xf>
    <xf numFmtId="44" fontId="60" fillId="0" borderId="0" xfId="2" applyFont="1" applyAlignment="1" applyProtection="1">
      <alignment horizontal="center" vertical="center"/>
      <protection hidden="1"/>
    </xf>
    <xf numFmtId="0" fontId="62" fillId="22" borderId="45" xfId="0" applyFont="1" applyFill="1" applyBorder="1" applyAlignment="1">
      <alignment horizontal="right"/>
    </xf>
    <xf numFmtId="0" fontId="62" fillId="22" borderId="14" xfId="0" applyFont="1" applyFill="1" applyBorder="1" applyAlignment="1">
      <alignment horizontal="right"/>
    </xf>
    <xf numFmtId="0" fontId="62" fillId="22" borderId="3" xfId="0" applyFont="1" applyFill="1" applyBorder="1" applyAlignment="1">
      <alignment horizontal="right"/>
    </xf>
    <xf numFmtId="0" fontId="55" fillId="2" borderId="45" xfId="0" applyFont="1" applyFill="1" applyBorder="1" applyAlignment="1">
      <alignment horizontal="right" vertical="center"/>
    </xf>
    <xf numFmtId="0" fontId="55" fillId="2" borderId="14" xfId="0" applyFont="1" applyFill="1" applyBorder="1" applyAlignment="1">
      <alignment horizontal="right" vertical="center"/>
    </xf>
    <xf numFmtId="0" fontId="68" fillId="0" borderId="0" xfId="0" applyFont="1" applyAlignment="1">
      <alignment horizontal="center"/>
    </xf>
    <xf numFmtId="0" fontId="95" fillId="0" borderId="0" xfId="0" applyFont="1" applyAlignment="1">
      <alignment horizontal="center"/>
    </xf>
    <xf numFmtId="44" fontId="60" fillId="3" borderId="16" xfId="2" applyFont="1" applyFill="1" applyBorder="1" applyAlignment="1">
      <alignment horizontal="center" vertical="center"/>
    </xf>
    <xf numFmtId="44" fontId="60" fillId="3" borderId="12" xfId="2" applyFont="1" applyFill="1" applyBorder="1" applyAlignment="1">
      <alignment horizontal="center" vertical="center"/>
    </xf>
    <xf numFmtId="0" fontId="55" fillId="10" borderId="45" xfId="0" applyFont="1" applyFill="1" applyBorder="1" applyAlignment="1" applyProtection="1">
      <alignment horizontal="right"/>
      <protection hidden="1"/>
    </xf>
    <xf numFmtId="0" fontId="55" fillId="10" borderId="14" xfId="0" applyFont="1" applyFill="1" applyBorder="1" applyAlignment="1" applyProtection="1">
      <alignment horizontal="right"/>
      <protection hidden="1"/>
    </xf>
    <xf numFmtId="0" fontId="54" fillId="7" borderId="45" xfId="0" applyFont="1" applyFill="1" applyBorder="1" applyAlignment="1" applyProtection="1">
      <alignment horizontal="right"/>
      <protection hidden="1"/>
    </xf>
    <xf numFmtId="0" fontId="54" fillId="7" borderId="14" xfId="0" applyFont="1" applyFill="1" applyBorder="1" applyAlignment="1" applyProtection="1">
      <alignment horizontal="right"/>
      <protection hidden="1"/>
    </xf>
    <xf numFmtId="0" fontId="55" fillId="7" borderId="0" xfId="0" applyFont="1" applyFill="1" applyAlignment="1" applyProtection="1">
      <alignment horizontal="left"/>
      <protection hidden="1"/>
    </xf>
    <xf numFmtId="0" fontId="91" fillId="7" borderId="50" xfId="0" applyFont="1" applyFill="1" applyBorder="1" applyAlignment="1" applyProtection="1">
      <alignment horizontal="left" vertical="center"/>
      <protection hidden="1"/>
    </xf>
    <xf numFmtId="0" fontId="91" fillId="7" borderId="20" xfId="0" applyFont="1" applyFill="1" applyBorder="1" applyAlignment="1" applyProtection="1">
      <alignment horizontal="left" vertical="center"/>
      <protection hidden="1"/>
    </xf>
    <xf numFmtId="0" fontId="91" fillId="7" borderId="21" xfId="0" applyFont="1" applyFill="1" applyBorder="1" applyAlignment="1" applyProtection="1">
      <alignment horizontal="left" vertical="center"/>
      <protection hidden="1"/>
    </xf>
    <xf numFmtId="44" fontId="56" fillId="0" borderId="0" xfId="2" applyFont="1" applyAlignment="1">
      <alignment horizontal="center" vertical="center"/>
    </xf>
    <xf numFmtId="0" fontId="93" fillId="7" borderId="70" xfId="0" applyFont="1" applyFill="1" applyBorder="1" applyAlignment="1">
      <alignment horizontal="center" vertical="center" wrapText="1"/>
    </xf>
    <xf numFmtId="0" fontId="55" fillId="7" borderId="0" xfId="0" applyFont="1" applyFill="1" applyAlignment="1" applyProtection="1">
      <alignment horizontal="left" vertical="center"/>
      <protection hidden="1"/>
    </xf>
    <xf numFmtId="0" fontId="73" fillId="21" borderId="45" xfId="0" applyFont="1" applyFill="1" applyBorder="1" applyAlignment="1">
      <alignment horizontal="center" vertical="center"/>
    </xf>
    <xf numFmtId="0" fontId="73" fillId="21" borderId="14" xfId="0" applyFont="1" applyFill="1" applyBorder="1" applyAlignment="1">
      <alignment horizontal="center" vertical="center"/>
    </xf>
    <xf numFmtId="0" fontId="73" fillId="21" borderId="3" xfId="0" applyFont="1" applyFill="1" applyBorder="1" applyAlignment="1">
      <alignment horizontal="center" vertical="center"/>
    </xf>
    <xf numFmtId="0" fontId="60" fillId="16" borderId="3" xfId="0" applyFont="1" applyFill="1" applyBorder="1" applyAlignment="1">
      <alignment horizontal="center" vertical="center"/>
    </xf>
    <xf numFmtId="0" fontId="60" fillId="16" borderId="1" xfId="0" applyFont="1" applyFill="1" applyBorder="1" applyAlignment="1">
      <alignment horizontal="center" vertical="center"/>
    </xf>
    <xf numFmtId="0" fontId="88" fillId="19" borderId="14" xfId="0" applyFont="1" applyFill="1" applyBorder="1" applyAlignment="1">
      <alignment horizontal="center" vertical="center"/>
    </xf>
    <xf numFmtId="0" fontId="88" fillId="19" borderId="3" xfId="0" applyFont="1" applyFill="1" applyBorder="1" applyAlignment="1">
      <alignment horizontal="center" vertical="center"/>
    </xf>
    <xf numFmtId="0" fontId="0" fillId="0" borderId="0" xfId="0" applyAlignment="1">
      <alignment horizontal="center"/>
    </xf>
    <xf numFmtId="44" fontId="78" fillId="7" borderId="68" xfId="2" applyFont="1" applyFill="1" applyBorder="1" applyAlignment="1">
      <alignment horizontal="center" wrapText="1"/>
    </xf>
    <xf numFmtId="44" fontId="78" fillId="7" borderId="69" xfId="2" applyFont="1" applyFill="1" applyBorder="1" applyAlignment="1">
      <alignment horizontal="center" wrapText="1"/>
    </xf>
    <xf numFmtId="0" fontId="78" fillId="7" borderId="10" xfId="0" applyFont="1" applyFill="1" applyBorder="1" applyAlignment="1">
      <alignment horizontal="center" wrapText="1"/>
    </xf>
    <xf numFmtId="0" fontId="78" fillId="7" borderId="46" xfId="0" applyFont="1" applyFill="1" applyBorder="1" applyAlignment="1">
      <alignment horizontal="center" wrapText="1"/>
    </xf>
    <xf numFmtId="0" fontId="94" fillId="0" borderId="44" xfId="0" applyFont="1" applyBorder="1" applyAlignment="1">
      <alignment horizontal="center"/>
    </xf>
    <xf numFmtId="0" fontId="94" fillId="0" borderId="40" xfId="0" applyFont="1" applyBorder="1" applyAlignment="1">
      <alignment horizontal="center"/>
    </xf>
    <xf numFmtId="44" fontId="93" fillId="7" borderId="68" xfId="2" applyFont="1" applyFill="1" applyBorder="1" applyAlignment="1">
      <alignment horizontal="center" vertical="center"/>
    </xf>
    <xf numFmtId="0" fontId="0" fillId="0" borderId="50" xfId="0" applyBorder="1" applyAlignment="1">
      <alignment horizontal="center"/>
    </xf>
    <xf numFmtId="0" fontId="0" fillId="0" borderId="21" xfId="0" applyBorder="1" applyAlignment="1">
      <alignment horizontal="center"/>
    </xf>
    <xf numFmtId="0" fontId="54" fillId="0" borderId="10" xfId="0" applyFont="1" applyBorder="1" applyAlignment="1">
      <alignment horizontal="center"/>
    </xf>
    <xf numFmtId="0" fontId="78" fillId="7" borderId="70" xfId="0" applyFont="1" applyFill="1" applyBorder="1" applyAlignment="1">
      <alignment horizontal="center" wrapText="1"/>
    </xf>
    <xf numFmtId="0" fontId="78" fillId="7" borderId="71" xfId="0" applyFont="1" applyFill="1" applyBorder="1" applyAlignment="1">
      <alignment horizontal="center" wrapText="1"/>
    </xf>
    <xf numFmtId="0" fontId="60" fillId="16" borderId="44" xfId="0" applyFont="1" applyFill="1" applyBorder="1" applyAlignment="1">
      <alignment horizontal="center" vertical="center"/>
    </xf>
    <xf numFmtId="0" fontId="60" fillId="16" borderId="55" xfId="0" applyFont="1" applyFill="1" applyBorder="1" applyAlignment="1">
      <alignment horizontal="center" vertical="center"/>
    </xf>
    <xf numFmtId="0" fontId="60" fillId="16" borderId="46" xfId="0" applyFont="1" applyFill="1" applyBorder="1" applyAlignment="1">
      <alignment horizontal="center" vertical="center"/>
    </xf>
    <xf numFmtId="0" fontId="60" fillId="16" borderId="29" xfId="0" applyFont="1" applyFill="1" applyBorder="1" applyAlignment="1">
      <alignment horizontal="center" vertical="center"/>
    </xf>
    <xf numFmtId="44" fontId="60" fillId="16" borderId="54" xfId="2" applyFont="1" applyFill="1" applyBorder="1" applyAlignment="1" applyProtection="1">
      <alignment horizontal="center" vertical="center"/>
      <protection hidden="1"/>
    </xf>
    <xf numFmtId="44" fontId="60" fillId="16" borderId="1" xfId="2" applyFont="1" applyFill="1" applyBorder="1" applyAlignment="1" applyProtection="1">
      <alignment horizontal="center" vertical="center"/>
      <protection hidden="1"/>
    </xf>
    <xf numFmtId="0" fontId="88" fillId="19" borderId="45" xfId="0" applyFont="1" applyFill="1" applyBorder="1" applyAlignment="1">
      <alignment horizontal="center" vertical="center"/>
    </xf>
    <xf numFmtId="44" fontId="55" fillId="16" borderId="54" xfId="2" applyFont="1" applyFill="1" applyBorder="1" applyAlignment="1" applyProtection="1">
      <alignment horizontal="center" vertical="center"/>
      <protection hidden="1"/>
    </xf>
    <xf numFmtId="44" fontId="55" fillId="16" borderId="1" xfId="2" applyFont="1" applyFill="1" applyBorder="1" applyAlignment="1" applyProtection="1">
      <alignment horizontal="center" vertical="center"/>
      <protection hidden="1"/>
    </xf>
    <xf numFmtId="0" fontId="89" fillId="20" borderId="46" xfId="0" applyFont="1" applyFill="1" applyBorder="1" applyAlignment="1">
      <alignment horizontal="left" vertical="center"/>
    </xf>
    <xf numFmtId="0" fontId="89" fillId="20" borderId="39" xfId="0" applyFont="1" applyFill="1" applyBorder="1" applyAlignment="1">
      <alignment horizontal="left" vertical="center"/>
    </xf>
    <xf numFmtId="0" fontId="89" fillId="20" borderId="29" xfId="0" applyFont="1" applyFill="1" applyBorder="1" applyAlignment="1">
      <alignment horizontal="left" vertical="center"/>
    </xf>
    <xf numFmtId="0" fontId="90" fillId="16" borderId="45" xfId="0" applyFont="1" applyFill="1" applyBorder="1" applyAlignment="1">
      <alignment horizontal="left" vertical="center"/>
    </xf>
    <xf numFmtId="0" fontId="90" fillId="16" borderId="14" xfId="0" applyFont="1" applyFill="1" applyBorder="1" applyAlignment="1">
      <alignment horizontal="left" vertical="center"/>
    </xf>
    <xf numFmtId="0" fontId="90" fillId="16" borderId="3" xfId="0" applyFont="1" applyFill="1" applyBorder="1" applyAlignment="1">
      <alignment horizontal="left" vertical="center"/>
    </xf>
    <xf numFmtId="0" fontId="60" fillId="2" borderId="1" xfId="0" applyFont="1" applyFill="1" applyBorder="1" applyAlignment="1">
      <alignment horizontal="center" vertical="center"/>
    </xf>
    <xf numFmtId="0" fontId="60" fillId="2" borderId="2" xfId="0" applyFont="1" applyFill="1" applyBorder="1" applyAlignment="1">
      <alignment horizontal="center" vertical="center"/>
    </xf>
    <xf numFmtId="0" fontId="60" fillId="2" borderId="45" xfId="0" applyFont="1" applyFill="1" applyBorder="1" applyAlignment="1">
      <alignment horizontal="center" vertical="center"/>
    </xf>
    <xf numFmtId="0" fontId="60" fillId="2" borderId="14" xfId="0" applyFont="1" applyFill="1" applyBorder="1" applyAlignment="1">
      <alignment horizontal="center" vertical="center"/>
    </xf>
    <xf numFmtId="0" fontId="60" fillId="2" borderId="3" xfId="0" applyFont="1" applyFill="1" applyBorder="1" applyAlignment="1">
      <alignment horizontal="center" vertical="center"/>
    </xf>
    <xf numFmtId="0" fontId="78" fillId="2" borderId="50" xfId="0" quotePrefix="1" applyFont="1" applyFill="1" applyBorder="1" applyAlignment="1">
      <alignment horizontal="left" vertical="center"/>
    </xf>
    <xf numFmtId="0" fontId="78" fillId="2" borderId="20" xfId="0" quotePrefix="1" applyFont="1" applyFill="1" applyBorder="1" applyAlignment="1">
      <alignment horizontal="left" vertical="center"/>
    </xf>
    <xf numFmtId="0" fontId="49" fillId="0" borderId="10" xfId="0" applyFont="1" applyBorder="1" applyAlignment="1">
      <alignment horizontal="center" wrapText="1"/>
    </xf>
    <xf numFmtId="0" fontId="49" fillId="0" borderId="0" xfId="0" applyFont="1" applyAlignment="1">
      <alignment horizontal="center" wrapText="1"/>
    </xf>
    <xf numFmtId="0" fontId="64" fillId="16" borderId="60" xfId="0" applyFont="1" applyFill="1" applyBorder="1" applyAlignment="1">
      <alignment horizontal="center" vertical="center"/>
    </xf>
    <xf numFmtId="0" fontId="64" fillId="16" borderId="61" xfId="0" applyFont="1" applyFill="1" applyBorder="1" applyAlignment="1">
      <alignment horizontal="center" vertical="center"/>
    </xf>
    <xf numFmtId="0" fontId="64" fillId="16" borderId="31" xfId="0" applyFont="1" applyFill="1" applyBorder="1" applyAlignment="1">
      <alignment horizontal="center" vertical="center"/>
    </xf>
    <xf numFmtId="0" fontId="48" fillId="16" borderId="45" xfId="0" applyFont="1" applyFill="1" applyBorder="1" applyAlignment="1">
      <alignment horizontal="center"/>
    </xf>
    <xf numFmtId="0" fontId="48" fillId="16" borderId="14" xfId="0" applyFont="1" applyFill="1" applyBorder="1" applyAlignment="1">
      <alignment horizontal="center"/>
    </xf>
    <xf numFmtId="0" fontId="48" fillId="16" borderId="3" xfId="0" applyFont="1" applyFill="1" applyBorder="1" applyAlignment="1">
      <alignment horizontal="center"/>
    </xf>
    <xf numFmtId="0" fontId="65" fillId="16" borderId="45" xfId="0" applyFont="1" applyFill="1" applyBorder="1" applyAlignment="1">
      <alignment horizontal="center"/>
    </xf>
    <xf numFmtId="0" fontId="65" fillId="16" borderId="14" xfId="0" applyFont="1" applyFill="1" applyBorder="1" applyAlignment="1">
      <alignment horizontal="center"/>
    </xf>
    <xf numFmtId="0" fontId="65" fillId="16" borderId="3" xfId="0" applyFont="1" applyFill="1" applyBorder="1" applyAlignment="1">
      <alignment horizontal="center"/>
    </xf>
    <xf numFmtId="0" fontId="102" fillId="16" borderId="45" xfId="0" applyFont="1" applyFill="1" applyBorder="1" applyAlignment="1">
      <alignment horizontal="center"/>
    </xf>
    <xf numFmtId="0" fontId="102" fillId="16" borderId="14" xfId="0" applyFont="1" applyFill="1" applyBorder="1" applyAlignment="1">
      <alignment horizontal="center"/>
    </xf>
    <xf numFmtId="0" fontId="102" fillId="16" borderId="3" xfId="0" applyFont="1" applyFill="1" applyBorder="1" applyAlignment="1">
      <alignment horizontal="center"/>
    </xf>
    <xf numFmtId="0" fontId="64" fillId="13" borderId="60" xfId="0" applyFont="1" applyFill="1" applyBorder="1" applyAlignment="1">
      <alignment horizontal="center" vertical="center"/>
    </xf>
    <xf numFmtId="0" fontId="64" fillId="13" borderId="61" xfId="0" applyFont="1" applyFill="1" applyBorder="1" applyAlignment="1">
      <alignment horizontal="center" vertical="center"/>
    </xf>
    <xf numFmtId="0" fontId="100" fillId="0" borderId="60" xfId="0" applyFont="1" applyBorder="1" applyAlignment="1">
      <alignment horizontal="center" vertical="center" wrapText="1"/>
    </xf>
    <xf numFmtId="0" fontId="100" fillId="0" borderId="31" xfId="0" applyFont="1" applyBorder="1" applyAlignment="1">
      <alignment horizontal="center" vertical="center" wrapText="1"/>
    </xf>
    <xf numFmtId="0" fontId="101" fillId="0" borderId="60" xfId="0" applyFont="1" applyBorder="1" applyAlignment="1">
      <alignment horizontal="center" vertical="center" wrapText="1"/>
    </xf>
    <xf numFmtId="0" fontId="101" fillId="0" borderId="31" xfId="0" applyFont="1" applyBorder="1" applyAlignment="1">
      <alignment horizontal="center" vertical="center" wrapText="1"/>
    </xf>
    <xf numFmtId="0" fontId="64" fillId="24" borderId="60" xfId="0" applyFont="1" applyFill="1" applyBorder="1" applyAlignment="1">
      <alignment horizontal="center" vertical="center"/>
    </xf>
    <xf numFmtId="0" fontId="64" fillId="24" borderId="61" xfId="0" applyFont="1" applyFill="1" applyBorder="1" applyAlignment="1">
      <alignment horizontal="center" vertical="center"/>
    </xf>
    <xf numFmtId="0" fontId="64" fillId="24" borderId="31" xfId="0" applyFont="1" applyFill="1" applyBorder="1" applyAlignment="1">
      <alignment horizontal="center" vertical="center"/>
    </xf>
    <xf numFmtId="0" fontId="102" fillId="24" borderId="45" xfId="0" applyFont="1" applyFill="1" applyBorder="1" applyAlignment="1">
      <alignment horizontal="center"/>
    </xf>
    <xf numFmtId="0" fontId="102" fillId="24" borderId="14" xfId="0" applyFont="1" applyFill="1" applyBorder="1" applyAlignment="1">
      <alignment horizontal="center"/>
    </xf>
    <xf numFmtId="0" fontId="102" fillId="24" borderId="3" xfId="0" applyFont="1" applyFill="1" applyBorder="1" applyAlignment="1">
      <alignment horizontal="center"/>
    </xf>
    <xf numFmtId="0" fontId="65" fillId="24" borderId="45" xfId="0" applyFont="1" applyFill="1" applyBorder="1" applyAlignment="1">
      <alignment horizontal="center"/>
    </xf>
    <xf numFmtId="0" fontId="65" fillId="24" borderId="14" xfId="0" applyFont="1" applyFill="1" applyBorder="1" applyAlignment="1">
      <alignment horizontal="center"/>
    </xf>
    <xf numFmtId="0" fontId="65" fillId="24" borderId="3" xfId="0" applyFont="1" applyFill="1" applyBorder="1" applyAlignment="1">
      <alignment horizontal="center"/>
    </xf>
    <xf numFmtId="0" fontId="48" fillId="24" borderId="45" xfId="0" applyFont="1" applyFill="1" applyBorder="1" applyAlignment="1">
      <alignment horizontal="center"/>
    </xf>
    <xf numFmtId="0" fontId="48" fillId="24" borderId="14" xfId="0" applyFont="1" applyFill="1" applyBorder="1" applyAlignment="1">
      <alignment horizontal="center"/>
    </xf>
    <xf numFmtId="0" fontId="48" fillId="24" borderId="3" xfId="0" applyFont="1" applyFill="1" applyBorder="1" applyAlignment="1">
      <alignment horizontal="center"/>
    </xf>
  </cellXfs>
  <cellStyles count="3">
    <cellStyle name="Euro" xfId="1" xr:uid="{0F3BACDB-D071-47B8-B589-6E1F8BAEC45B}"/>
    <cellStyle name="Monétaire" xfId="2" builtinId="4"/>
    <cellStyle name="Normal" xfId="0" builtinId="0"/>
  </cellStyles>
  <dxfs count="30">
    <dxf>
      <font>
        <color rgb="FFFF0000"/>
      </font>
    </dxf>
    <dxf>
      <font>
        <color theme="0"/>
        <name val="Cambria"/>
        <scheme val="none"/>
      </font>
      <fill>
        <patternFill>
          <bgColor theme="0"/>
        </patternFill>
      </fill>
    </dxf>
    <dxf>
      <font>
        <color rgb="FFFF0000"/>
      </font>
    </dxf>
    <dxf>
      <font>
        <color theme="0"/>
        <name val="Cambria"/>
        <scheme val="none"/>
      </font>
      <fill>
        <patternFill>
          <bgColor theme="0"/>
        </patternFill>
      </fill>
    </dxf>
    <dxf>
      <font>
        <color rgb="FFFF0000"/>
      </font>
    </dxf>
    <dxf>
      <font>
        <color theme="0"/>
        <name val="Cambria"/>
        <scheme val="none"/>
      </font>
      <fill>
        <patternFill>
          <bgColor theme="0"/>
        </patternFill>
      </fill>
    </dxf>
    <dxf>
      <font>
        <color theme="0"/>
      </font>
    </dxf>
    <dxf>
      <font>
        <b/>
        <i val="0"/>
        <color theme="0"/>
        <name val="Cambria"/>
        <scheme val="none"/>
      </font>
      <fill>
        <patternFill>
          <bgColor rgb="FF92D050"/>
        </patternFill>
      </fill>
    </dxf>
    <dxf>
      <font>
        <color theme="0"/>
      </font>
    </dxf>
    <dxf>
      <font>
        <b/>
        <i val="0"/>
        <color theme="0"/>
        <name val="Cambria"/>
        <scheme val="none"/>
      </font>
      <fill>
        <patternFill>
          <bgColor rgb="FF92D050"/>
        </patternFill>
      </fill>
    </dxf>
    <dxf>
      <font>
        <b/>
        <i val="0"/>
        <color theme="0"/>
        <name val="Cambria"/>
        <scheme val="none"/>
      </font>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rgb="FFFF0000"/>
      </font>
    </dxf>
    <dxf>
      <font>
        <color theme="0"/>
        <name val="Cambria"/>
        <scheme val="none"/>
      </font>
      <fill>
        <patternFill>
          <bgColor theme="0"/>
        </patternFill>
      </fill>
    </dxf>
    <dxf>
      <font>
        <color rgb="FFFF0000"/>
      </font>
    </dxf>
    <dxf>
      <font>
        <color theme="0"/>
        <name val="Cambria"/>
        <scheme val="none"/>
      </font>
      <fill>
        <patternFill>
          <bgColor theme="0"/>
        </patternFill>
      </fill>
    </dxf>
    <dxf>
      <font>
        <color rgb="FFFF0000"/>
      </font>
    </dxf>
    <dxf>
      <font>
        <color theme="0"/>
        <name val="Cambria"/>
        <scheme val="none"/>
      </font>
      <fill>
        <patternFill>
          <bgColor theme="0"/>
        </patternFill>
      </fill>
    </dxf>
    <dxf>
      <font>
        <color theme="0"/>
      </font>
    </dxf>
    <dxf>
      <font>
        <b/>
        <i val="0"/>
        <color theme="0"/>
        <name val="Cambria"/>
        <scheme val="none"/>
      </font>
      <fill>
        <patternFill>
          <bgColor rgb="FF92D050"/>
        </patternFill>
      </fill>
    </dxf>
    <dxf>
      <font>
        <color theme="0"/>
      </font>
    </dxf>
    <dxf>
      <font>
        <b/>
        <i val="0"/>
        <color theme="0"/>
        <name val="Cambria"/>
        <scheme val="none"/>
      </font>
      <fill>
        <patternFill>
          <bgColor rgb="FF92D050"/>
        </patternFill>
      </fill>
    </dxf>
    <dxf>
      <font>
        <b/>
        <i val="0"/>
        <color theme="0"/>
        <name val="Cambria"/>
        <scheme val="none"/>
      </font>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oursuite cp sur + 3 ann&#233;e'!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0</xdr:row>
      <xdr:rowOff>76200</xdr:rowOff>
    </xdr:from>
    <xdr:to>
      <xdr:col>1</xdr:col>
      <xdr:colOff>1190625</xdr:colOff>
      <xdr:row>2</xdr:row>
      <xdr:rowOff>19050</xdr:rowOff>
    </xdr:to>
    <xdr:pic>
      <xdr:nvPicPr>
        <xdr:cNvPr id="34339" name="Image 2">
          <a:extLst>
            <a:ext uri="{FF2B5EF4-FFF2-40B4-BE49-F238E27FC236}">
              <a16:creationId xmlns:a16="http://schemas.microsoft.com/office/drawing/2014/main" id="{56D87F45-AA6F-ACC8-E94B-6FADEA6C80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76200"/>
          <a:ext cx="11906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9</xdr:row>
      <xdr:rowOff>140508</xdr:rowOff>
    </xdr:from>
    <xdr:to>
      <xdr:col>1</xdr:col>
      <xdr:colOff>137398</xdr:colOff>
      <xdr:row>12</xdr:row>
      <xdr:rowOff>7971</xdr:rowOff>
    </xdr:to>
    <xdr:sp macro="" textlink="">
      <xdr:nvSpPr>
        <xdr:cNvPr id="7" name="Flèche vers le bas 6">
          <a:extLst>
            <a:ext uri="{FF2B5EF4-FFF2-40B4-BE49-F238E27FC236}">
              <a16:creationId xmlns:a16="http://schemas.microsoft.com/office/drawing/2014/main" id="{5B19ED72-5DD7-72F0-FAE0-9EC5880C2D81}"/>
            </a:ext>
          </a:extLst>
        </xdr:cNvPr>
        <xdr:cNvSpPr/>
      </xdr:nvSpPr>
      <xdr:spPr>
        <a:xfrm>
          <a:off x="0" y="1711974"/>
          <a:ext cx="303970" cy="47711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a:t>1</a:t>
          </a:r>
          <a:endParaRPr lang="fr-FR"/>
        </a:p>
      </xdr:txBody>
    </xdr:sp>
    <xdr:clientData fPrintsWithSheet="0"/>
  </xdr:twoCellAnchor>
  <xdr:twoCellAnchor>
    <xdr:from>
      <xdr:col>13</xdr:col>
      <xdr:colOff>37087</xdr:colOff>
      <xdr:row>16</xdr:row>
      <xdr:rowOff>111045</xdr:rowOff>
    </xdr:from>
    <xdr:to>
      <xdr:col>13</xdr:col>
      <xdr:colOff>337454</xdr:colOff>
      <xdr:row>18</xdr:row>
      <xdr:rowOff>194296</xdr:rowOff>
    </xdr:to>
    <xdr:sp macro="" textlink="">
      <xdr:nvSpPr>
        <xdr:cNvPr id="30" name="Flèche vers le bas 29">
          <a:extLst>
            <a:ext uri="{FF2B5EF4-FFF2-40B4-BE49-F238E27FC236}">
              <a16:creationId xmlns:a16="http://schemas.microsoft.com/office/drawing/2014/main" id="{6795C6B3-A176-A189-0CED-3DA0B0BDD6F6}"/>
            </a:ext>
          </a:extLst>
        </xdr:cNvPr>
        <xdr:cNvSpPr/>
      </xdr:nvSpPr>
      <xdr:spPr>
        <a:xfrm>
          <a:off x="9847916" y="2857499"/>
          <a:ext cx="312084" cy="34580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4</a:t>
          </a:r>
        </a:p>
      </xdr:txBody>
    </xdr:sp>
    <xdr:clientData fPrintsWithSheet="0"/>
  </xdr:twoCellAnchor>
  <xdr:twoCellAnchor>
    <xdr:from>
      <xdr:col>13</xdr:col>
      <xdr:colOff>1348624</xdr:colOff>
      <xdr:row>19</xdr:row>
      <xdr:rowOff>17173</xdr:rowOff>
    </xdr:from>
    <xdr:to>
      <xdr:col>13</xdr:col>
      <xdr:colOff>1675482</xdr:colOff>
      <xdr:row>21</xdr:row>
      <xdr:rowOff>290</xdr:rowOff>
    </xdr:to>
    <xdr:sp macro="" textlink="">
      <xdr:nvSpPr>
        <xdr:cNvPr id="36" name="Flèche vers le bas 35">
          <a:extLst>
            <a:ext uri="{FF2B5EF4-FFF2-40B4-BE49-F238E27FC236}">
              <a16:creationId xmlns:a16="http://schemas.microsoft.com/office/drawing/2014/main" id="{23376EDA-B080-B99F-6BFE-699CEACA53E2}"/>
            </a:ext>
          </a:extLst>
        </xdr:cNvPr>
        <xdr:cNvSpPr/>
      </xdr:nvSpPr>
      <xdr:spPr>
        <a:xfrm>
          <a:off x="11939720" y="4278906"/>
          <a:ext cx="308188" cy="271352"/>
        </a:xfrm>
        <a:prstGeom prst="downArrow">
          <a:avLst/>
        </a:prstGeom>
        <a:solidFill>
          <a:schemeClr val="accent3">
            <a:lumMod val="60000"/>
            <a:lumOff val="4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b="1">
              <a:solidFill>
                <a:schemeClr val="tx2"/>
              </a:solidFill>
              <a:latin typeface="+mj-lt"/>
            </a:rPr>
            <a:t>B</a:t>
          </a:r>
        </a:p>
      </xdr:txBody>
    </xdr:sp>
    <xdr:clientData/>
  </xdr:twoCellAnchor>
  <xdr:twoCellAnchor>
    <xdr:from>
      <xdr:col>10</xdr:col>
      <xdr:colOff>441404</xdr:colOff>
      <xdr:row>19</xdr:row>
      <xdr:rowOff>8864</xdr:rowOff>
    </xdr:from>
    <xdr:to>
      <xdr:col>10</xdr:col>
      <xdr:colOff>754589</xdr:colOff>
      <xdr:row>21</xdr:row>
      <xdr:rowOff>1889</xdr:rowOff>
    </xdr:to>
    <xdr:sp macro="" textlink="">
      <xdr:nvSpPr>
        <xdr:cNvPr id="38" name="Flèche vers le bas 37">
          <a:extLst>
            <a:ext uri="{FF2B5EF4-FFF2-40B4-BE49-F238E27FC236}">
              <a16:creationId xmlns:a16="http://schemas.microsoft.com/office/drawing/2014/main" id="{69082493-4891-765A-C0F6-B62173B7F045}"/>
            </a:ext>
          </a:extLst>
        </xdr:cNvPr>
        <xdr:cNvSpPr/>
      </xdr:nvSpPr>
      <xdr:spPr>
        <a:xfrm>
          <a:off x="8051685" y="4257092"/>
          <a:ext cx="304236" cy="269542"/>
        </a:xfrm>
        <a:prstGeom prst="downArrow">
          <a:avLst/>
        </a:prstGeom>
        <a:solidFill>
          <a:schemeClr val="accent3"/>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b="1"/>
            <a:t>A</a:t>
          </a:r>
        </a:p>
      </xdr:txBody>
    </xdr:sp>
    <xdr:clientData/>
  </xdr:twoCellAnchor>
  <xdr:twoCellAnchor>
    <xdr:from>
      <xdr:col>0</xdr:col>
      <xdr:colOff>0</xdr:colOff>
      <xdr:row>19</xdr:row>
      <xdr:rowOff>17969</xdr:rowOff>
    </xdr:from>
    <xdr:to>
      <xdr:col>1</xdr:col>
      <xdr:colOff>192451</xdr:colOff>
      <xdr:row>22</xdr:row>
      <xdr:rowOff>172956</xdr:rowOff>
    </xdr:to>
    <xdr:sp macro="" textlink="">
      <xdr:nvSpPr>
        <xdr:cNvPr id="45" name="Flèche vers le bas 44">
          <a:extLst>
            <a:ext uri="{FF2B5EF4-FFF2-40B4-BE49-F238E27FC236}">
              <a16:creationId xmlns:a16="http://schemas.microsoft.com/office/drawing/2014/main" id="{57B54118-EA1B-A10D-A98D-E91FCC494C17}"/>
            </a:ext>
          </a:extLst>
        </xdr:cNvPr>
        <xdr:cNvSpPr/>
      </xdr:nvSpPr>
      <xdr:spPr>
        <a:xfrm>
          <a:off x="0" y="4141342"/>
          <a:ext cx="357186" cy="641522"/>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2</a:t>
          </a:r>
        </a:p>
      </xdr:txBody>
    </xdr:sp>
    <xdr:clientData fPrintsWithSheet="0"/>
  </xdr:twoCellAnchor>
  <xdr:twoCellAnchor>
    <xdr:from>
      <xdr:col>6</xdr:col>
      <xdr:colOff>1097121</xdr:colOff>
      <xdr:row>18</xdr:row>
      <xdr:rowOff>178748</xdr:rowOff>
    </xdr:from>
    <xdr:to>
      <xdr:col>7</xdr:col>
      <xdr:colOff>22234</xdr:colOff>
      <xdr:row>19</xdr:row>
      <xdr:rowOff>201318</xdr:rowOff>
    </xdr:to>
    <xdr:sp macro="" textlink="">
      <xdr:nvSpPr>
        <xdr:cNvPr id="47" name="Flèche vers le bas 46">
          <a:extLst>
            <a:ext uri="{FF2B5EF4-FFF2-40B4-BE49-F238E27FC236}">
              <a16:creationId xmlns:a16="http://schemas.microsoft.com/office/drawing/2014/main" id="{D6730BE6-A119-091D-3F94-051D8FE223DA}"/>
            </a:ext>
          </a:extLst>
        </xdr:cNvPr>
        <xdr:cNvSpPr/>
      </xdr:nvSpPr>
      <xdr:spPr>
        <a:xfrm>
          <a:off x="4494609" y="3177059"/>
          <a:ext cx="252001" cy="28305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a:t>3</a:t>
          </a:r>
        </a:p>
      </xdr:txBody>
    </xdr:sp>
    <xdr:clientData fPrintsWithSheet="0"/>
  </xdr:twoCellAnchor>
  <xdr:twoCellAnchor>
    <xdr:from>
      <xdr:col>13</xdr:col>
      <xdr:colOff>1355853</xdr:colOff>
      <xdr:row>47</xdr:row>
      <xdr:rowOff>1246</xdr:rowOff>
    </xdr:from>
    <xdr:to>
      <xdr:col>13</xdr:col>
      <xdr:colOff>1678080</xdr:colOff>
      <xdr:row>50</xdr:row>
      <xdr:rowOff>17665</xdr:rowOff>
    </xdr:to>
    <xdr:sp macro="" textlink="">
      <xdr:nvSpPr>
        <xdr:cNvPr id="29" name="Flèche vers le bas 28">
          <a:extLst>
            <a:ext uri="{FF2B5EF4-FFF2-40B4-BE49-F238E27FC236}">
              <a16:creationId xmlns:a16="http://schemas.microsoft.com/office/drawing/2014/main" id="{FFDEB319-3A54-ADB7-E785-5D6BF915D8D5}"/>
            </a:ext>
          </a:extLst>
        </xdr:cNvPr>
        <xdr:cNvSpPr/>
      </xdr:nvSpPr>
      <xdr:spPr>
        <a:xfrm>
          <a:off x="11930547" y="9733969"/>
          <a:ext cx="315882" cy="272142"/>
        </a:xfrm>
        <a:prstGeom prst="downArrow">
          <a:avLst/>
        </a:prstGeom>
        <a:solidFill>
          <a:schemeClr val="accent3">
            <a:lumMod val="60000"/>
            <a:lumOff val="4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b="1">
              <a:solidFill>
                <a:schemeClr val="tx2"/>
              </a:solidFill>
              <a:latin typeface="+mj-lt"/>
            </a:rPr>
            <a:t>B</a:t>
          </a:r>
        </a:p>
      </xdr:txBody>
    </xdr:sp>
    <xdr:clientData/>
  </xdr:twoCellAnchor>
  <xdr:twoCellAnchor>
    <xdr:from>
      <xdr:col>13</xdr:col>
      <xdr:colOff>1355854</xdr:colOff>
      <xdr:row>76</xdr:row>
      <xdr:rowOff>20294</xdr:rowOff>
    </xdr:from>
    <xdr:to>
      <xdr:col>13</xdr:col>
      <xdr:colOff>1678102</xdr:colOff>
      <xdr:row>79</xdr:row>
      <xdr:rowOff>1995</xdr:rowOff>
    </xdr:to>
    <xdr:sp macro="" textlink="">
      <xdr:nvSpPr>
        <xdr:cNvPr id="32" name="Flèche vers le bas 31">
          <a:extLst>
            <a:ext uri="{FF2B5EF4-FFF2-40B4-BE49-F238E27FC236}">
              <a16:creationId xmlns:a16="http://schemas.microsoft.com/office/drawing/2014/main" id="{B1A49C0D-E8B9-A364-EBCC-B80247BECEF3}"/>
            </a:ext>
          </a:extLst>
        </xdr:cNvPr>
        <xdr:cNvSpPr/>
      </xdr:nvSpPr>
      <xdr:spPr>
        <a:xfrm>
          <a:off x="11930548" y="15322615"/>
          <a:ext cx="304236" cy="252129"/>
        </a:xfrm>
        <a:prstGeom prst="downArrow">
          <a:avLst/>
        </a:prstGeom>
        <a:solidFill>
          <a:schemeClr val="accent3">
            <a:lumMod val="60000"/>
            <a:lumOff val="4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b="1">
              <a:solidFill>
                <a:schemeClr val="tx2"/>
              </a:solidFill>
              <a:latin typeface="+mj-lt"/>
            </a:rPr>
            <a:t>B</a:t>
          </a:r>
        </a:p>
      </xdr:txBody>
    </xdr:sp>
    <xdr:clientData/>
  </xdr:twoCellAnchor>
  <xdr:twoCellAnchor>
    <xdr:from>
      <xdr:col>10</xdr:col>
      <xdr:colOff>439472</xdr:colOff>
      <xdr:row>47</xdr:row>
      <xdr:rowOff>388</xdr:rowOff>
    </xdr:from>
    <xdr:to>
      <xdr:col>10</xdr:col>
      <xdr:colOff>751237</xdr:colOff>
      <xdr:row>50</xdr:row>
      <xdr:rowOff>373</xdr:rowOff>
    </xdr:to>
    <xdr:sp macro="" textlink="">
      <xdr:nvSpPr>
        <xdr:cNvPr id="33" name="Flèche vers le bas 32">
          <a:extLst>
            <a:ext uri="{FF2B5EF4-FFF2-40B4-BE49-F238E27FC236}">
              <a16:creationId xmlns:a16="http://schemas.microsoft.com/office/drawing/2014/main" id="{19134148-8297-FC7D-3AC9-8F89F5443B6D}"/>
            </a:ext>
          </a:extLst>
        </xdr:cNvPr>
        <xdr:cNvSpPr/>
      </xdr:nvSpPr>
      <xdr:spPr>
        <a:xfrm>
          <a:off x="8057373" y="9738826"/>
          <a:ext cx="304236" cy="269542"/>
        </a:xfrm>
        <a:prstGeom prst="downArrow">
          <a:avLst/>
        </a:prstGeom>
        <a:solidFill>
          <a:schemeClr val="accent3"/>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b="1"/>
            <a:t>A</a:t>
          </a:r>
        </a:p>
      </xdr:txBody>
    </xdr:sp>
    <xdr:clientData/>
  </xdr:twoCellAnchor>
  <xdr:twoCellAnchor>
    <xdr:from>
      <xdr:col>10</xdr:col>
      <xdr:colOff>439276</xdr:colOff>
      <xdr:row>76</xdr:row>
      <xdr:rowOff>20294</xdr:rowOff>
    </xdr:from>
    <xdr:to>
      <xdr:col>10</xdr:col>
      <xdr:colOff>753313</xdr:colOff>
      <xdr:row>79</xdr:row>
      <xdr:rowOff>1732</xdr:rowOff>
    </xdr:to>
    <xdr:sp macro="" textlink="">
      <xdr:nvSpPr>
        <xdr:cNvPr id="35" name="Flèche vers le bas 34">
          <a:extLst>
            <a:ext uri="{FF2B5EF4-FFF2-40B4-BE49-F238E27FC236}">
              <a16:creationId xmlns:a16="http://schemas.microsoft.com/office/drawing/2014/main" id="{057CD263-E9A8-C835-7B98-F9EC7908142B}"/>
            </a:ext>
          </a:extLst>
        </xdr:cNvPr>
        <xdr:cNvSpPr/>
      </xdr:nvSpPr>
      <xdr:spPr>
        <a:xfrm>
          <a:off x="8047018" y="15409878"/>
          <a:ext cx="308063" cy="244252"/>
        </a:xfrm>
        <a:prstGeom prst="downArrow">
          <a:avLst/>
        </a:prstGeom>
        <a:solidFill>
          <a:schemeClr val="accent3"/>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b="1"/>
            <a:t>A</a:t>
          </a:r>
        </a:p>
      </xdr:txBody>
    </xdr:sp>
    <xdr:clientData/>
  </xdr:twoCellAnchor>
  <xdr:twoCellAnchor>
    <xdr:from>
      <xdr:col>0</xdr:col>
      <xdr:colOff>0</xdr:colOff>
      <xdr:row>47</xdr:row>
      <xdr:rowOff>29159</xdr:rowOff>
    </xdr:from>
    <xdr:to>
      <xdr:col>1</xdr:col>
      <xdr:colOff>196219</xdr:colOff>
      <xdr:row>51</xdr:row>
      <xdr:rowOff>121459</xdr:rowOff>
    </xdr:to>
    <xdr:sp macro="" textlink="">
      <xdr:nvSpPr>
        <xdr:cNvPr id="46" name="Flèche vers le bas 45">
          <a:extLst>
            <a:ext uri="{FF2B5EF4-FFF2-40B4-BE49-F238E27FC236}">
              <a16:creationId xmlns:a16="http://schemas.microsoft.com/office/drawing/2014/main" id="{B736095A-0E83-1A0B-BEBC-5FA6C2E09275}"/>
            </a:ext>
          </a:extLst>
        </xdr:cNvPr>
        <xdr:cNvSpPr/>
      </xdr:nvSpPr>
      <xdr:spPr>
        <a:xfrm>
          <a:off x="0" y="9613690"/>
          <a:ext cx="385356" cy="655372"/>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1</a:t>
          </a:r>
        </a:p>
      </xdr:txBody>
    </xdr:sp>
    <xdr:clientData fPrintsWithSheet="0"/>
  </xdr:twoCellAnchor>
  <xdr:twoCellAnchor>
    <xdr:from>
      <xdr:col>13</xdr:col>
      <xdr:colOff>3365</xdr:colOff>
      <xdr:row>43</xdr:row>
      <xdr:rowOff>83185</xdr:rowOff>
    </xdr:from>
    <xdr:to>
      <xdr:col>13</xdr:col>
      <xdr:colOff>369083</xdr:colOff>
      <xdr:row>45</xdr:row>
      <xdr:rowOff>200761</xdr:rowOff>
    </xdr:to>
    <xdr:sp macro="" textlink="">
      <xdr:nvSpPr>
        <xdr:cNvPr id="49" name="Flèche vers le bas 48">
          <a:extLst>
            <a:ext uri="{FF2B5EF4-FFF2-40B4-BE49-F238E27FC236}">
              <a16:creationId xmlns:a16="http://schemas.microsoft.com/office/drawing/2014/main" id="{F80BF47F-55E1-15AD-8030-DD32623CFEFF}"/>
            </a:ext>
          </a:extLst>
        </xdr:cNvPr>
        <xdr:cNvSpPr/>
      </xdr:nvSpPr>
      <xdr:spPr>
        <a:xfrm>
          <a:off x="9821814" y="8552656"/>
          <a:ext cx="358029" cy="31361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3</a:t>
          </a:r>
        </a:p>
      </xdr:txBody>
    </xdr:sp>
    <xdr:clientData fPrintsWithSheet="0"/>
  </xdr:twoCellAnchor>
  <xdr:twoCellAnchor>
    <xdr:from>
      <xdr:col>0</xdr:col>
      <xdr:colOff>0</xdr:colOff>
      <xdr:row>76</xdr:row>
      <xdr:rowOff>29158</xdr:rowOff>
    </xdr:from>
    <xdr:to>
      <xdr:col>1</xdr:col>
      <xdr:colOff>196219</xdr:colOff>
      <xdr:row>80</xdr:row>
      <xdr:rowOff>177721</xdr:rowOff>
    </xdr:to>
    <xdr:sp macro="" textlink="">
      <xdr:nvSpPr>
        <xdr:cNvPr id="50" name="Flèche vers le bas 49">
          <a:extLst>
            <a:ext uri="{FF2B5EF4-FFF2-40B4-BE49-F238E27FC236}">
              <a16:creationId xmlns:a16="http://schemas.microsoft.com/office/drawing/2014/main" id="{CE767E08-A597-CB55-416A-DA483B8F9CA6}"/>
            </a:ext>
          </a:extLst>
        </xdr:cNvPr>
        <xdr:cNvSpPr/>
      </xdr:nvSpPr>
      <xdr:spPr>
        <a:xfrm>
          <a:off x="0" y="15257252"/>
          <a:ext cx="385356" cy="63690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1</a:t>
          </a:r>
        </a:p>
      </xdr:txBody>
    </xdr:sp>
    <xdr:clientData fPrintsWithSheet="0"/>
  </xdr:twoCellAnchor>
  <xdr:twoCellAnchor>
    <xdr:from>
      <xdr:col>13</xdr:col>
      <xdr:colOff>39532</xdr:colOff>
      <xdr:row>72</xdr:row>
      <xdr:rowOff>111894</xdr:rowOff>
    </xdr:from>
    <xdr:to>
      <xdr:col>13</xdr:col>
      <xdr:colOff>404495</xdr:colOff>
      <xdr:row>74</xdr:row>
      <xdr:rowOff>212310</xdr:rowOff>
    </xdr:to>
    <xdr:sp macro="" textlink="">
      <xdr:nvSpPr>
        <xdr:cNvPr id="51" name="Flèche vers le bas 50">
          <a:extLst>
            <a:ext uri="{FF2B5EF4-FFF2-40B4-BE49-F238E27FC236}">
              <a16:creationId xmlns:a16="http://schemas.microsoft.com/office/drawing/2014/main" id="{10B3F53F-1DC7-889F-F9B1-5BBBA4BA8739}"/>
            </a:ext>
          </a:extLst>
        </xdr:cNvPr>
        <xdr:cNvSpPr/>
      </xdr:nvSpPr>
      <xdr:spPr>
        <a:xfrm>
          <a:off x="9850361" y="14382249"/>
          <a:ext cx="359247" cy="2848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3</a:t>
          </a:r>
        </a:p>
      </xdr:txBody>
    </xdr:sp>
    <xdr:clientData fPrintsWithSheet="0"/>
  </xdr:twoCellAnchor>
  <xdr:twoCellAnchor>
    <xdr:from>
      <xdr:col>6</xdr:col>
      <xdr:colOff>1092604</xdr:colOff>
      <xdr:row>47</xdr:row>
      <xdr:rowOff>868</xdr:rowOff>
    </xdr:from>
    <xdr:to>
      <xdr:col>6</xdr:col>
      <xdr:colOff>1329096</xdr:colOff>
      <xdr:row>48</xdr:row>
      <xdr:rowOff>30</xdr:rowOff>
    </xdr:to>
    <xdr:sp macro="" textlink="">
      <xdr:nvSpPr>
        <xdr:cNvPr id="54" name="Flèche vers le bas 53">
          <a:extLst>
            <a:ext uri="{FF2B5EF4-FFF2-40B4-BE49-F238E27FC236}">
              <a16:creationId xmlns:a16="http://schemas.microsoft.com/office/drawing/2014/main" id="{08584107-78CF-E3F3-552D-E4AC7D950419}"/>
            </a:ext>
          </a:extLst>
        </xdr:cNvPr>
        <xdr:cNvSpPr/>
      </xdr:nvSpPr>
      <xdr:spPr>
        <a:xfrm flipH="1">
          <a:off x="4486282" y="8950796"/>
          <a:ext cx="246452" cy="27871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a:t>2</a:t>
          </a:r>
        </a:p>
      </xdr:txBody>
    </xdr:sp>
    <xdr:clientData fPrintsWithSheet="0"/>
  </xdr:twoCellAnchor>
  <xdr:twoCellAnchor>
    <xdr:from>
      <xdr:col>6</xdr:col>
      <xdr:colOff>1119084</xdr:colOff>
      <xdr:row>74</xdr:row>
      <xdr:rowOff>175779</xdr:rowOff>
    </xdr:from>
    <xdr:to>
      <xdr:col>7</xdr:col>
      <xdr:colOff>33107</xdr:colOff>
      <xdr:row>76</xdr:row>
      <xdr:rowOff>189872</xdr:rowOff>
    </xdr:to>
    <xdr:sp macro="" textlink="">
      <xdr:nvSpPr>
        <xdr:cNvPr id="55" name="Flèche vers le bas 54">
          <a:extLst>
            <a:ext uri="{FF2B5EF4-FFF2-40B4-BE49-F238E27FC236}">
              <a16:creationId xmlns:a16="http://schemas.microsoft.com/office/drawing/2014/main" id="{986B9A0E-A12D-E805-3F7F-BA2EBD3B45A2}"/>
            </a:ext>
          </a:extLst>
        </xdr:cNvPr>
        <xdr:cNvSpPr/>
      </xdr:nvSpPr>
      <xdr:spPr>
        <a:xfrm flipH="1">
          <a:off x="4510857" y="14622823"/>
          <a:ext cx="251643" cy="300688"/>
        </a:xfrm>
        <a:prstGeom prst="downArrow">
          <a:avLst>
            <a:gd name="adj1" fmla="val 50000"/>
            <a:gd name="adj2" fmla="val 58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a:t>2</a:t>
          </a:r>
        </a:p>
      </xdr:txBody>
    </xdr:sp>
    <xdr:clientData fPrintsWithSheet="0"/>
  </xdr:twoCellAnchor>
  <xdr:twoCellAnchor>
    <xdr:from>
      <xdr:col>8</xdr:col>
      <xdr:colOff>1036320</xdr:colOff>
      <xdr:row>13</xdr:row>
      <xdr:rowOff>38100</xdr:rowOff>
    </xdr:from>
    <xdr:to>
      <xdr:col>9</xdr:col>
      <xdr:colOff>848216</xdr:colOff>
      <xdr:row>14</xdr:row>
      <xdr:rowOff>4019</xdr:rowOff>
    </xdr:to>
    <xdr:sp macro="" textlink="">
      <xdr:nvSpPr>
        <xdr:cNvPr id="22" name="Rectangle 2">
          <a:hlinkClick xmlns:r="http://schemas.openxmlformats.org/officeDocument/2006/relationships" r:id="rId2" tooltip="cliquer pour POURSUITE CP SUR + 3 Année"/>
          <a:extLst>
            <a:ext uri="{FF2B5EF4-FFF2-40B4-BE49-F238E27FC236}">
              <a16:creationId xmlns:a16="http://schemas.microsoft.com/office/drawing/2014/main" id="{03FBD0C2-0517-6154-8E7F-EE760DEF7745}"/>
            </a:ext>
          </a:extLst>
        </xdr:cNvPr>
        <xdr:cNvSpPr>
          <a:spLocks noChangeArrowheads="1"/>
        </xdr:cNvSpPr>
      </xdr:nvSpPr>
      <xdr:spPr bwMode="auto">
        <a:xfrm>
          <a:off x="6350000" y="2489200"/>
          <a:ext cx="864879" cy="209610"/>
        </a:xfrm>
        <a:prstGeom prst="rect">
          <a:avLst/>
        </a:prstGeom>
        <a:solidFill>
          <a:schemeClr val="accent5">
            <a:lumMod val="20000"/>
            <a:lumOff val="80000"/>
          </a:schemeClr>
        </a:solidFill>
        <a:ln w="25560" cap="flat">
          <a:solidFill>
            <a:srgbClr val="F2F2F2"/>
          </a:solidFill>
          <a:round/>
          <a:headEnd/>
          <a:tailEnd/>
        </a:ln>
        <a:effectLst>
          <a:softEdge rad="12700"/>
        </a:effectLst>
      </xdr:spPr>
      <xdr:txBody>
        <a:bodyPr vertOverflow="clip" wrap="square" lIns="90000" tIns="45000" rIns="90000" bIns="45000" anchor="ctr">
          <a:scene3d>
            <a:camera prst="orthographicFront"/>
            <a:lightRig rig="threePt" dir="t"/>
          </a:scene3d>
          <a:sp3d prstMaterial="metal"/>
        </a:bodyPr>
        <a:lstStyle/>
        <a:p>
          <a:pPr algn="ctr" rtl="0">
            <a:defRPr sz="1000"/>
          </a:pPr>
          <a:r>
            <a:rPr lang="fr-FR" sz="2400" b="1" i="0" u="none" strike="noStrike" baseline="0">
              <a:solidFill>
                <a:srgbClr val="FF0000"/>
              </a:solidFill>
              <a:latin typeface="Calibri"/>
              <a:sym typeface="Wingdings" panose="05000000000000000000" pitchFamily="2" charset="2"/>
            </a:rPr>
            <a:t></a:t>
          </a:r>
          <a:endParaRPr lang="fr-FR" sz="2400" b="1" i="0" u="none" strike="noStrike" baseline="0">
            <a:solidFill>
              <a:srgbClr val="FF0000"/>
            </a:solidFill>
            <a:latin typeface="Calibri"/>
          </a:endParaRPr>
        </a:p>
      </xdr:txBody>
    </xdr:sp>
    <xdr:clientData fPrintsWithSheet="0"/>
  </xdr:twoCellAnchor>
  <xdr:twoCellAnchor editAs="oneCell">
    <xdr:from>
      <xdr:col>13</xdr:col>
      <xdr:colOff>3343275</xdr:colOff>
      <xdr:row>0</xdr:row>
      <xdr:rowOff>0</xdr:rowOff>
    </xdr:from>
    <xdr:to>
      <xdr:col>14</xdr:col>
      <xdr:colOff>866775</xdr:colOff>
      <xdr:row>3</xdr:row>
      <xdr:rowOff>0</xdr:rowOff>
    </xdr:to>
    <xdr:pic>
      <xdr:nvPicPr>
        <xdr:cNvPr id="34357" name="Image 1">
          <a:extLst>
            <a:ext uri="{FF2B5EF4-FFF2-40B4-BE49-F238E27FC236}">
              <a16:creationId xmlns:a16="http://schemas.microsoft.com/office/drawing/2014/main" id="{15A14DBB-D7E0-0F67-3957-43DC98FD77E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059025" y="0"/>
          <a:ext cx="10668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0</xdr:row>
      <xdr:rowOff>76200</xdr:rowOff>
    </xdr:from>
    <xdr:to>
      <xdr:col>1</xdr:col>
      <xdr:colOff>1181100</xdr:colOff>
      <xdr:row>2</xdr:row>
      <xdr:rowOff>9525</xdr:rowOff>
    </xdr:to>
    <xdr:pic>
      <xdr:nvPicPr>
        <xdr:cNvPr id="33713" name="Image 2">
          <a:extLst>
            <a:ext uri="{FF2B5EF4-FFF2-40B4-BE49-F238E27FC236}">
              <a16:creationId xmlns:a16="http://schemas.microsoft.com/office/drawing/2014/main" id="{D9D4AB46-62F6-345F-C10D-9A20E3CA4C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76200"/>
          <a:ext cx="11811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9</xdr:row>
      <xdr:rowOff>140508</xdr:rowOff>
    </xdr:from>
    <xdr:to>
      <xdr:col>1</xdr:col>
      <xdr:colOff>137398</xdr:colOff>
      <xdr:row>12</xdr:row>
      <xdr:rowOff>7971</xdr:rowOff>
    </xdr:to>
    <xdr:sp macro="" textlink="">
      <xdr:nvSpPr>
        <xdr:cNvPr id="4" name="Flèche vers le bas 6">
          <a:extLst>
            <a:ext uri="{FF2B5EF4-FFF2-40B4-BE49-F238E27FC236}">
              <a16:creationId xmlns:a16="http://schemas.microsoft.com/office/drawing/2014/main" id="{647364B7-FEEF-7D14-B4EF-B11ECF88FBD3}"/>
            </a:ext>
          </a:extLst>
        </xdr:cNvPr>
        <xdr:cNvSpPr/>
      </xdr:nvSpPr>
      <xdr:spPr>
        <a:xfrm>
          <a:off x="0" y="1706418"/>
          <a:ext cx="326973" cy="48108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a:t>1</a:t>
          </a:r>
          <a:endParaRPr lang="fr-FR"/>
        </a:p>
      </xdr:txBody>
    </xdr:sp>
    <xdr:clientData fPrintsWithSheet="0"/>
  </xdr:twoCellAnchor>
  <xdr:twoCellAnchor>
    <xdr:from>
      <xdr:col>13</xdr:col>
      <xdr:colOff>37087</xdr:colOff>
      <xdr:row>16</xdr:row>
      <xdr:rowOff>111045</xdr:rowOff>
    </xdr:from>
    <xdr:to>
      <xdr:col>13</xdr:col>
      <xdr:colOff>344161</xdr:colOff>
      <xdr:row>18</xdr:row>
      <xdr:rowOff>194296</xdr:rowOff>
    </xdr:to>
    <xdr:sp macro="" textlink="">
      <xdr:nvSpPr>
        <xdr:cNvPr id="5" name="Flèche vers le bas 29">
          <a:extLst>
            <a:ext uri="{FF2B5EF4-FFF2-40B4-BE49-F238E27FC236}">
              <a16:creationId xmlns:a16="http://schemas.microsoft.com/office/drawing/2014/main" id="{22DAA64A-7A09-81B5-C4E1-CCADECC0342C}"/>
            </a:ext>
          </a:extLst>
        </xdr:cNvPr>
        <xdr:cNvSpPr/>
      </xdr:nvSpPr>
      <xdr:spPr>
        <a:xfrm>
          <a:off x="11750932" y="2852340"/>
          <a:ext cx="317546" cy="33798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4</a:t>
          </a:r>
        </a:p>
      </xdr:txBody>
    </xdr:sp>
    <xdr:clientData fPrintsWithSheet="0"/>
  </xdr:twoCellAnchor>
  <xdr:twoCellAnchor>
    <xdr:from>
      <xdr:col>13</xdr:col>
      <xdr:colOff>1356244</xdr:colOff>
      <xdr:row>19</xdr:row>
      <xdr:rowOff>17173</xdr:rowOff>
    </xdr:from>
    <xdr:to>
      <xdr:col>13</xdr:col>
      <xdr:colOff>1676440</xdr:colOff>
      <xdr:row>21</xdr:row>
      <xdr:rowOff>290</xdr:rowOff>
    </xdr:to>
    <xdr:sp macro="" textlink="">
      <xdr:nvSpPr>
        <xdr:cNvPr id="6" name="Flèche vers le bas 35">
          <a:extLst>
            <a:ext uri="{FF2B5EF4-FFF2-40B4-BE49-F238E27FC236}">
              <a16:creationId xmlns:a16="http://schemas.microsoft.com/office/drawing/2014/main" id="{7866302B-8394-D4B1-8B17-47800DAD3E2F}"/>
            </a:ext>
          </a:extLst>
        </xdr:cNvPr>
        <xdr:cNvSpPr/>
      </xdr:nvSpPr>
      <xdr:spPr>
        <a:xfrm>
          <a:off x="13073899" y="3242338"/>
          <a:ext cx="315187" cy="272677"/>
        </a:xfrm>
        <a:prstGeom prst="downArrow">
          <a:avLst/>
        </a:prstGeom>
        <a:solidFill>
          <a:schemeClr val="accent3">
            <a:lumMod val="60000"/>
            <a:lumOff val="4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b="1">
              <a:solidFill>
                <a:schemeClr val="tx2"/>
              </a:solidFill>
              <a:latin typeface="+mj-lt"/>
            </a:rPr>
            <a:t>B</a:t>
          </a:r>
        </a:p>
      </xdr:txBody>
    </xdr:sp>
    <xdr:clientData/>
  </xdr:twoCellAnchor>
  <xdr:twoCellAnchor>
    <xdr:from>
      <xdr:col>10</xdr:col>
      <xdr:colOff>449024</xdr:colOff>
      <xdr:row>19</xdr:row>
      <xdr:rowOff>8864</xdr:rowOff>
    </xdr:from>
    <xdr:to>
      <xdr:col>10</xdr:col>
      <xdr:colOff>762209</xdr:colOff>
      <xdr:row>21</xdr:row>
      <xdr:rowOff>1889</xdr:rowOff>
    </xdr:to>
    <xdr:sp macro="" textlink="">
      <xdr:nvSpPr>
        <xdr:cNvPr id="7" name="Flèche vers le bas 37">
          <a:extLst>
            <a:ext uri="{FF2B5EF4-FFF2-40B4-BE49-F238E27FC236}">
              <a16:creationId xmlns:a16="http://schemas.microsoft.com/office/drawing/2014/main" id="{F0788BC0-D93D-1FDD-CB78-CACAD9B150A4}"/>
            </a:ext>
          </a:extLst>
        </xdr:cNvPr>
        <xdr:cNvSpPr/>
      </xdr:nvSpPr>
      <xdr:spPr>
        <a:xfrm>
          <a:off x="7773749" y="3235934"/>
          <a:ext cx="300179" cy="280680"/>
        </a:xfrm>
        <a:prstGeom prst="downArrow">
          <a:avLst/>
        </a:prstGeom>
        <a:solidFill>
          <a:schemeClr val="accent3"/>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b="1"/>
            <a:t>A</a:t>
          </a:r>
        </a:p>
      </xdr:txBody>
    </xdr:sp>
    <xdr:clientData/>
  </xdr:twoCellAnchor>
  <xdr:twoCellAnchor>
    <xdr:from>
      <xdr:col>0</xdr:col>
      <xdr:colOff>0</xdr:colOff>
      <xdr:row>19</xdr:row>
      <xdr:rowOff>17969</xdr:rowOff>
    </xdr:from>
    <xdr:to>
      <xdr:col>1</xdr:col>
      <xdr:colOff>192451</xdr:colOff>
      <xdr:row>22</xdr:row>
      <xdr:rowOff>172956</xdr:rowOff>
    </xdr:to>
    <xdr:sp macro="" textlink="">
      <xdr:nvSpPr>
        <xdr:cNvPr id="8" name="Flèche vers le bas 44">
          <a:extLst>
            <a:ext uri="{FF2B5EF4-FFF2-40B4-BE49-F238E27FC236}">
              <a16:creationId xmlns:a16="http://schemas.microsoft.com/office/drawing/2014/main" id="{C0991889-1F64-C995-5CA6-1CD62FC18A6A}"/>
            </a:ext>
          </a:extLst>
        </xdr:cNvPr>
        <xdr:cNvSpPr/>
      </xdr:nvSpPr>
      <xdr:spPr>
        <a:xfrm>
          <a:off x="0" y="3243134"/>
          <a:ext cx="377922" cy="65395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2</a:t>
          </a:r>
        </a:p>
      </xdr:txBody>
    </xdr:sp>
    <xdr:clientData fPrintsWithSheet="0"/>
  </xdr:twoCellAnchor>
  <xdr:twoCellAnchor>
    <xdr:from>
      <xdr:col>6</xdr:col>
      <xdr:colOff>1089501</xdr:colOff>
      <xdr:row>18</xdr:row>
      <xdr:rowOff>178748</xdr:rowOff>
    </xdr:from>
    <xdr:to>
      <xdr:col>7</xdr:col>
      <xdr:colOff>31720</xdr:colOff>
      <xdr:row>19</xdr:row>
      <xdr:rowOff>201318</xdr:rowOff>
    </xdr:to>
    <xdr:sp macro="" textlink="">
      <xdr:nvSpPr>
        <xdr:cNvPr id="9" name="Flèche vers le bas 46">
          <a:extLst>
            <a:ext uri="{FF2B5EF4-FFF2-40B4-BE49-F238E27FC236}">
              <a16:creationId xmlns:a16="http://schemas.microsoft.com/office/drawing/2014/main" id="{BB34DBC3-BBD1-0DA8-AC99-45B0E0743A36}"/>
            </a:ext>
          </a:extLst>
        </xdr:cNvPr>
        <xdr:cNvSpPr/>
      </xdr:nvSpPr>
      <xdr:spPr>
        <a:xfrm>
          <a:off x="4853781" y="3171503"/>
          <a:ext cx="402374" cy="28305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a:t>3</a:t>
          </a:r>
        </a:p>
      </xdr:txBody>
    </xdr:sp>
    <xdr:clientData fPrintsWithSheet="0"/>
  </xdr:twoCellAnchor>
  <xdr:twoCellAnchor>
    <xdr:from>
      <xdr:col>13</xdr:col>
      <xdr:colOff>1363473</xdr:colOff>
      <xdr:row>47</xdr:row>
      <xdr:rowOff>1246</xdr:rowOff>
    </xdr:from>
    <xdr:to>
      <xdr:col>13</xdr:col>
      <xdr:colOff>1679014</xdr:colOff>
      <xdr:row>50</xdr:row>
      <xdr:rowOff>17665</xdr:rowOff>
    </xdr:to>
    <xdr:sp macro="" textlink="">
      <xdr:nvSpPr>
        <xdr:cNvPr id="10" name="Flèche vers le bas 28">
          <a:extLst>
            <a:ext uri="{FF2B5EF4-FFF2-40B4-BE49-F238E27FC236}">
              <a16:creationId xmlns:a16="http://schemas.microsoft.com/office/drawing/2014/main" id="{AA2A8184-A93D-2AB8-5932-0E07714FBA35}"/>
            </a:ext>
          </a:extLst>
        </xdr:cNvPr>
        <xdr:cNvSpPr/>
      </xdr:nvSpPr>
      <xdr:spPr>
        <a:xfrm>
          <a:off x="13065888" y="8998561"/>
          <a:ext cx="322651" cy="279318"/>
        </a:xfrm>
        <a:prstGeom prst="downArrow">
          <a:avLst/>
        </a:prstGeom>
        <a:solidFill>
          <a:schemeClr val="accent3">
            <a:lumMod val="60000"/>
            <a:lumOff val="4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b="1">
              <a:solidFill>
                <a:schemeClr val="tx2"/>
              </a:solidFill>
              <a:latin typeface="+mj-lt"/>
            </a:rPr>
            <a:t>B</a:t>
          </a:r>
        </a:p>
      </xdr:txBody>
    </xdr:sp>
    <xdr:clientData/>
  </xdr:twoCellAnchor>
  <xdr:twoCellAnchor>
    <xdr:from>
      <xdr:col>13</xdr:col>
      <xdr:colOff>1363474</xdr:colOff>
      <xdr:row>76</xdr:row>
      <xdr:rowOff>20294</xdr:rowOff>
    </xdr:from>
    <xdr:to>
      <xdr:col>13</xdr:col>
      <xdr:colOff>1679036</xdr:colOff>
      <xdr:row>79</xdr:row>
      <xdr:rowOff>1995</xdr:rowOff>
    </xdr:to>
    <xdr:sp macro="" textlink="">
      <xdr:nvSpPr>
        <xdr:cNvPr id="11" name="Flèche vers le bas 31">
          <a:extLst>
            <a:ext uri="{FF2B5EF4-FFF2-40B4-BE49-F238E27FC236}">
              <a16:creationId xmlns:a16="http://schemas.microsoft.com/office/drawing/2014/main" id="{B0817B33-457E-E1B9-51AB-F54FCAF9A0A3}"/>
            </a:ext>
          </a:extLst>
        </xdr:cNvPr>
        <xdr:cNvSpPr/>
      </xdr:nvSpPr>
      <xdr:spPr>
        <a:xfrm>
          <a:off x="13065889" y="14799284"/>
          <a:ext cx="310530" cy="252335"/>
        </a:xfrm>
        <a:prstGeom prst="downArrow">
          <a:avLst/>
        </a:prstGeom>
        <a:solidFill>
          <a:schemeClr val="accent3">
            <a:lumMod val="60000"/>
            <a:lumOff val="4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b="1">
              <a:solidFill>
                <a:schemeClr val="tx2"/>
              </a:solidFill>
              <a:latin typeface="+mj-lt"/>
            </a:rPr>
            <a:t>B</a:t>
          </a:r>
        </a:p>
      </xdr:txBody>
    </xdr:sp>
    <xdr:clientData/>
  </xdr:twoCellAnchor>
  <xdr:twoCellAnchor>
    <xdr:from>
      <xdr:col>10</xdr:col>
      <xdr:colOff>447092</xdr:colOff>
      <xdr:row>47</xdr:row>
      <xdr:rowOff>388</xdr:rowOff>
    </xdr:from>
    <xdr:to>
      <xdr:col>10</xdr:col>
      <xdr:colOff>748465</xdr:colOff>
      <xdr:row>50</xdr:row>
      <xdr:rowOff>373</xdr:rowOff>
    </xdr:to>
    <xdr:sp macro="" textlink="">
      <xdr:nvSpPr>
        <xdr:cNvPr id="12" name="Flèche vers le bas 32">
          <a:extLst>
            <a:ext uri="{FF2B5EF4-FFF2-40B4-BE49-F238E27FC236}">
              <a16:creationId xmlns:a16="http://schemas.microsoft.com/office/drawing/2014/main" id="{EE713CDB-55F8-FE8E-26BC-514223FCB29B}"/>
            </a:ext>
          </a:extLst>
        </xdr:cNvPr>
        <xdr:cNvSpPr/>
      </xdr:nvSpPr>
      <xdr:spPr>
        <a:xfrm>
          <a:off x="7779437" y="9003418"/>
          <a:ext cx="300179" cy="276644"/>
        </a:xfrm>
        <a:prstGeom prst="downArrow">
          <a:avLst/>
        </a:prstGeom>
        <a:solidFill>
          <a:schemeClr val="accent3"/>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b="1"/>
            <a:t>A</a:t>
          </a:r>
        </a:p>
      </xdr:txBody>
    </xdr:sp>
    <xdr:clientData/>
  </xdr:twoCellAnchor>
  <xdr:twoCellAnchor>
    <xdr:from>
      <xdr:col>10</xdr:col>
      <xdr:colOff>446896</xdr:colOff>
      <xdr:row>76</xdr:row>
      <xdr:rowOff>20294</xdr:rowOff>
    </xdr:from>
    <xdr:to>
      <xdr:col>10</xdr:col>
      <xdr:colOff>750465</xdr:colOff>
      <xdr:row>79</xdr:row>
      <xdr:rowOff>1732</xdr:rowOff>
    </xdr:to>
    <xdr:sp macro="" textlink="">
      <xdr:nvSpPr>
        <xdr:cNvPr id="13" name="Flèche vers le bas 34">
          <a:extLst>
            <a:ext uri="{FF2B5EF4-FFF2-40B4-BE49-F238E27FC236}">
              <a16:creationId xmlns:a16="http://schemas.microsoft.com/office/drawing/2014/main" id="{B2CAF900-7C63-32DD-15FE-104EB5B3C628}"/>
            </a:ext>
          </a:extLst>
        </xdr:cNvPr>
        <xdr:cNvSpPr/>
      </xdr:nvSpPr>
      <xdr:spPr>
        <a:xfrm>
          <a:off x="7779241" y="14799284"/>
          <a:ext cx="294150" cy="252070"/>
        </a:xfrm>
        <a:prstGeom prst="downArrow">
          <a:avLst/>
        </a:prstGeom>
        <a:solidFill>
          <a:schemeClr val="accent3"/>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b="1"/>
            <a:t>A</a:t>
          </a:r>
        </a:p>
      </xdr:txBody>
    </xdr:sp>
    <xdr:clientData/>
  </xdr:twoCellAnchor>
  <xdr:twoCellAnchor>
    <xdr:from>
      <xdr:col>0</xdr:col>
      <xdr:colOff>0</xdr:colOff>
      <xdr:row>47</xdr:row>
      <xdr:rowOff>29159</xdr:rowOff>
    </xdr:from>
    <xdr:to>
      <xdr:col>1</xdr:col>
      <xdr:colOff>196219</xdr:colOff>
      <xdr:row>51</xdr:row>
      <xdr:rowOff>121459</xdr:rowOff>
    </xdr:to>
    <xdr:sp macro="" textlink="">
      <xdr:nvSpPr>
        <xdr:cNvPr id="14" name="Flèche vers le bas 45">
          <a:extLst>
            <a:ext uri="{FF2B5EF4-FFF2-40B4-BE49-F238E27FC236}">
              <a16:creationId xmlns:a16="http://schemas.microsoft.com/office/drawing/2014/main" id="{6AA0F9FF-3069-D220-A539-F2A8C43830FC}"/>
            </a:ext>
          </a:extLst>
        </xdr:cNvPr>
        <xdr:cNvSpPr/>
      </xdr:nvSpPr>
      <xdr:spPr>
        <a:xfrm>
          <a:off x="0" y="9020759"/>
          <a:ext cx="407970" cy="6601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1</a:t>
          </a:r>
        </a:p>
      </xdr:txBody>
    </xdr:sp>
    <xdr:clientData fPrintsWithSheet="0"/>
  </xdr:twoCellAnchor>
  <xdr:twoCellAnchor>
    <xdr:from>
      <xdr:col>13</xdr:col>
      <xdr:colOff>3365</xdr:colOff>
      <xdr:row>43</xdr:row>
      <xdr:rowOff>83185</xdr:rowOff>
    </xdr:from>
    <xdr:to>
      <xdr:col>13</xdr:col>
      <xdr:colOff>375926</xdr:colOff>
      <xdr:row>45</xdr:row>
      <xdr:rowOff>200761</xdr:rowOff>
    </xdr:to>
    <xdr:sp macro="" textlink="">
      <xdr:nvSpPr>
        <xdr:cNvPr id="15" name="Flèche vers le bas 48">
          <a:extLst>
            <a:ext uri="{FF2B5EF4-FFF2-40B4-BE49-F238E27FC236}">
              <a16:creationId xmlns:a16="http://schemas.microsoft.com/office/drawing/2014/main" id="{0176D047-1A89-A183-0FF3-5CC014DE7791}"/>
            </a:ext>
          </a:extLst>
        </xdr:cNvPr>
        <xdr:cNvSpPr/>
      </xdr:nvSpPr>
      <xdr:spPr>
        <a:xfrm>
          <a:off x="11724830" y="8585200"/>
          <a:ext cx="357151" cy="30686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3</a:t>
          </a:r>
        </a:p>
      </xdr:txBody>
    </xdr:sp>
    <xdr:clientData fPrintsWithSheet="0"/>
  </xdr:twoCellAnchor>
  <xdr:twoCellAnchor>
    <xdr:from>
      <xdr:col>0</xdr:col>
      <xdr:colOff>0</xdr:colOff>
      <xdr:row>76</xdr:row>
      <xdr:rowOff>29158</xdr:rowOff>
    </xdr:from>
    <xdr:to>
      <xdr:col>1</xdr:col>
      <xdr:colOff>196219</xdr:colOff>
      <xdr:row>80</xdr:row>
      <xdr:rowOff>177721</xdr:rowOff>
    </xdr:to>
    <xdr:sp macro="" textlink="">
      <xdr:nvSpPr>
        <xdr:cNvPr id="16" name="Flèche vers le bas 49">
          <a:extLst>
            <a:ext uri="{FF2B5EF4-FFF2-40B4-BE49-F238E27FC236}">
              <a16:creationId xmlns:a16="http://schemas.microsoft.com/office/drawing/2014/main" id="{3FD58A2F-AF19-2F5C-C2B6-63E073BB0E36}"/>
            </a:ext>
          </a:extLst>
        </xdr:cNvPr>
        <xdr:cNvSpPr/>
      </xdr:nvSpPr>
      <xdr:spPr>
        <a:xfrm>
          <a:off x="0" y="14821483"/>
          <a:ext cx="407970" cy="64166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1</a:t>
          </a:r>
        </a:p>
      </xdr:txBody>
    </xdr:sp>
    <xdr:clientData fPrintsWithSheet="0"/>
  </xdr:twoCellAnchor>
  <xdr:twoCellAnchor>
    <xdr:from>
      <xdr:col>13</xdr:col>
      <xdr:colOff>39532</xdr:colOff>
      <xdr:row>72</xdr:row>
      <xdr:rowOff>111894</xdr:rowOff>
    </xdr:from>
    <xdr:to>
      <xdr:col>13</xdr:col>
      <xdr:colOff>411281</xdr:colOff>
      <xdr:row>74</xdr:row>
      <xdr:rowOff>212310</xdr:rowOff>
    </xdr:to>
    <xdr:sp macro="" textlink="">
      <xdr:nvSpPr>
        <xdr:cNvPr id="17" name="Flèche vers le bas 50">
          <a:extLst>
            <a:ext uri="{FF2B5EF4-FFF2-40B4-BE49-F238E27FC236}">
              <a16:creationId xmlns:a16="http://schemas.microsoft.com/office/drawing/2014/main" id="{2962618E-DDF0-6ABD-DBB6-736A81F7CC51}"/>
            </a:ext>
          </a:extLst>
        </xdr:cNvPr>
        <xdr:cNvSpPr/>
      </xdr:nvSpPr>
      <xdr:spPr>
        <a:xfrm>
          <a:off x="11753377" y="14439399"/>
          <a:ext cx="358367" cy="28720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3</a:t>
          </a:r>
        </a:p>
      </xdr:txBody>
    </xdr:sp>
    <xdr:clientData fPrintsWithSheet="0"/>
  </xdr:twoCellAnchor>
  <xdr:twoCellAnchor>
    <xdr:from>
      <xdr:col>6</xdr:col>
      <xdr:colOff>1075459</xdr:colOff>
      <xdr:row>47</xdr:row>
      <xdr:rowOff>868</xdr:rowOff>
    </xdr:from>
    <xdr:to>
      <xdr:col>6</xdr:col>
      <xdr:colOff>1311951</xdr:colOff>
      <xdr:row>48</xdr:row>
      <xdr:rowOff>30</xdr:rowOff>
    </xdr:to>
    <xdr:sp macro="" textlink="">
      <xdr:nvSpPr>
        <xdr:cNvPr id="18" name="Flèche vers le bas 53">
          <a:extLst>
            <a:ext uri="{FF2B5EF4-FFF2-40B4-BE49-F238E27FC236}">
              <a16:creationId xmlns:a16="http://schemas.microsoft.com/office/drawing/2014/main" id="{5805DC62-2374-460B-40EE-F1B7227C1495}"/>
            </a:ext>
          </a:extLst>
        </xdr:cNvPr>
        <xdr:cNvSpPr/>
      </xdr:nvSpPr>
      <xdr:spPr>
        <a:xfrm flipH="1">
          <a:off x="4835929" y="8976593"/>
          <a:ext cx="250303" cy="27514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a:t>2</a:t>
          </a:r>
        </a:p>
      </xdr:txBody>
    </xdr:sp>
    <xdr:clientData fPrintsWithSheet="0"/>
  </xdr:twoCellAnchor>
  <xdr:twoCellAnchor>
    <xdr:from>
      <xdr:col>6</xdr:col>
      <xdr:colOff>1109559</xdr:colOff>
      <xdr:row>74</xdr:row>
      <xdr:rowOff>175779</xdr:rowOff>
    </xdr:from>
    <xdr:to>
      <xdr:col>7</xdr:col>
      <xdr:colOff>37438</xdr:colOff>
      <xdr:row>76</xdr:row>
      <xdr:rowOff>189872</xdr:rowOff>
    </xdr:to>
    <xdr:sp macro="" textlink="">
      <xdr:nvSpPr>
        <xdr:cNvPr id="19" name="Flèche vers le bas 54">
          <a:extLst>
            <a:ext uri="{FF2B5EF4-FFF2-40B4-BE49-F238E27FC236}">
              <a16:creationId xmlns:a16="http://schemas.microsoft.com/office/drawing/2014/main" id="{5A72F5D2-F40F-5961-7063-0A3BF1D48CBB}"/>
            </a:ext>
          </a:extLst>
        </xdr:cNvPr>
        <xdr:cNvSpPr/>
      </xdr:nvSpPr>
      <xdr:spPr>
        <a:xfrm flipH="1">
          <a:off x="4870029" y="14682354"/>
          <a:ext cx="397192" cy="299498"/>
        </a:xfrm>
        <a:prstGeom prst="downArrow">
          <a:avLst>
            <a:gd name="adj1" fmla="val 50000"/>
            <a:gd name="adj2" fmla="val 58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a:t>2</a:t>
          </a:r>
        </a:p>
      </xdr:txBody>
    </xdr:sp>
    <xdr:clientData fPrintsWithSheet="0"/>
  </xdr:twoCellAnchor>
  <xdr:twoCellAnchor editAs="oneCell">
    <xdr:from>
      <xdr:col>13</xdr:col>
      <xdr:colOff>3133725</xdr:colOff>
      <xdr:row>0</xdr:row>
      <xdr:rowOff>0</xdr:rowOff>
    </xdr:from>
    <xdr:to>
      <xdr:col>14</xdr:col>
      <xdr:colOff>657225</xdr:colOff>
      <xdr:row>3</xdr:row>
      <xdr:rowOff>0</xdr:rowOff>
    </xdr:to>
    <xdr:pic>
      <xdr:nvPicPr>
        <xdr:cNvPr id="33730" name="Image 19">
          <a:extLst>
            <a:ext uri="{FF2B5EF4-FFF2-40B4-BE49-F238E27FC236}">
              <a16:creationId xmlns:a16="http://schemas.microsoft.com/office/drawing/2014/main" id="{F4B6D110-3CA1-5C49-8E49-DE46AF25E1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20925" y="0"/>
          <a:ext cx="10668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7621</xdr:colOff>
      <xdr:row>2</xdr:row>
      <xdr:rowOff>125730</xdr:rowOff>
    </xdr:from>
    <xdr:to>
      <xdr:col>13</xdr:col>
      <xdr:colOff>3835</xdr:colOff>
      <xdr:row>8</xdr:row>
      <xdr:rowOff>123825</xdr:rowOff>
    </xdr:to>
    <xdr:sp macro="" textlink="">
      <xdr:nvSpPr>
        <xdr:cNvPr id="2" name="Rectangle 1">
          <a:extLst>
            <a:ext uri="{FF2B5EF4-FFF2-40B4-BE49-F238E27FC236}">
              <a16:creationId xmlns:a16="http://schemas.microsoft.com/office/drawing/2014/main" id="{A4326AA4-394F-07F7-D2A2-E9B9636929CC}"/>
            </a:ext>
          </a:extLst>
        </xdr:cNvPr>
        <xdr:cNvSpPr/>
      </xdr:nvSpPr>
      <xdr:spPr>
        <a:xfrm>
          <a:off x="188596" y="449580"/>
          <a:ext cx="8587764" cy="855345"/>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200"/>
            </a:lnSpc>
          </a:pPr>
          <a:r>
            <a:rPr lang="fr-FR" sz="1100" b="0">
              <a:solidFill>
                <a:sysClr val="windowText" lastClr="000000"/>
              </a:solidFill>
              <a:effectLst>
                <a:outerShdw blurRad="38100" dist="19050" dir="2700000" algn="tl" rotWithShape="0">
                  <a:schemeClr val="dk1">
                    <a:alpha val="40000"/>
                  </a:schemeClr>
                </a:outerShdw>
              </a:effectLst>
              <a:latin typeface="+mn-lt"/>
              <a:ea typeface="+mn-ea"/>
              <a:cs typeface="+mn-cs"/>
            </a:rPr>
            <a:t>Ce tableau  prévoit  la déduction des CP en cas d’arrêt de travail pour maladie non professionnelle </a:t>
          </a:r>
          <a:r>
            <a:rPr lang="fr-FR" sz="1100" b="0" cap="all" baseline="0">
              <a:solidFill>
                <a:srgbClr val="FF0000"/>
              </a:solidFill>
              <a:effectLst>
                <a:outerShdw blurRad="38100" dist="19050" dir="2700000" algn="tl" rotWithShape="0">
                  <a:schemeClr val="dk1">
                    <a:alpha val="40000"/>
                  </a:schemeClr>
                </a:outerShdw>
              </a:effectLst>
              <a:latin typeface="+mn-lt"/>
              <a:ea typeface="+mn-ea"/>
              <a:cs typeface="+mn-cs"/>
            </a:rPr>
            <a:t>au-delà </a:t>
          </a:r>
          <a:r>
            <a:rPr lang="fr-FR" sz="1100" b="0" cap="all" baseline="0">
              <a:solidFill>
                <a:sysClr val="windowText" lastClr="000000"/>
              </a:solidFill>
              <a:effectLst>
                <a:outerShdw blurRad="38100" dist="19050" dir="2700000" algn="tl" rotWithShape="0">
                  <a:schemeClr val="dk1">
                    <a:alpha val="40000"/>
                  </a:schemeClr>
                </a:outerShdw>
              </a:effectLst>
              <a:latin typeface="+mn-lt"/>
              <a:ea typeface="+mn-ea"/>
              <a:cs typeface="+mn-cs"/>
            </a:rPr>
            <a:t>de </a:t>
          </a:r>
          <a:r>
            <a:rPr lang="fr-FR" sz="1100" b="0">
              <a:solidFill>
                <a:sysClr val="windowText" lastClr="000000"/>
              </a:solidFill>
              <a:effectLst>
                <a:outerShdw blurRad="38100" dist="19050" dir="2700000" algn="tl" rotWithShape="0">
                  <a:schemeClr val="dk1">
                    <a:alpha val="40000"/>
                  </a:schemeClr>
                </a:outerShdw>
              </a:effectLst>
              <a:latin typeface="+mn-lt"/>
              <a:ea typeface="+mn-ea"/>
              <a:cs typeface="+mn-cs"/>
            </a:rPr>
            <a:t> 38,4 semaines/année de référence   - Le contrat ANAMAAF est en conformité avec l’article 7 de la directive européenne CE 2003/88/CE du 04 novembre 2003, et la décision de la Cour de Justice Européenne  dans son arrêt du 24 Janvier 2012, - tout salarié absent en raison d’une maladie professionnelle ou non (ou en chômage partiel) a droit à un congé annuel payé d’au moins  4 semaines - c’est l’année de référence qui fixe le début et la fin – exemple un arrêt continu de 43 semaines réparti sur 2 années de référence   ne génère pas de déduction de jours de congés payés acquis.</a:t>
          </a:r>
          <a:endParaRPr lang="fr-FR">
            <a:solidFill>
              <a:sysClr val="windowText" lastClr="000000"/>
            </a:solidFill>
            <a:effectLst/>
          </a:endParaRPr>
        </a:p>
      </xdr:txBody>
    </xdr:sp>
    <xdr:clientData/>
  </xdr:twoCellAnchor>
  <xdr:twoCellAnchor>
    <xdr:from>
      <xdr:col>1</xdr:col>
      <xdr:colOff>7620</xdr:colOff>
      <xdr:row>11</xdr:row>
      <xdr:rowOff>1</xdr:rowOff>
    </xdr:from>
    <xdr:to>
      <xdr:col>13</xdr:col>
      <xdr:colOff>7632</xdr:colOff>
      <xdr:row>15</xdr:row>
      <xdr:rowOff>38101</xdr:rowOff>
    </xdr:to>
    <xdr:sp macro="" textlink="">
      <xdr:nvSpPr>
        <xdr:cNvPr id="3" name="Rectangle 2">
          <a:extLst>
            <a:ext uri="{FF2B5EF4-FFF2-40B4-BE49-F238E27FC236}">
              <a16:creationId xmlns:a16="http://schemas.microsoft.com/office/drawing/2014/main" id="{5EA2473C-1960-8E57-5E2A-B0D1B8772D2C}"/>
            </a:ext>
          </a:extLst>
        </xdr:cNvPr>
        <xdr:cNvSpPr/>
      </xdr:nvSpPr>
      <xdr:spPr>
        <a:xfrm>
          <a:off x="188595" y="1085851"/>
          <a:ext cx="8591562" cy="609600"/>
        </a:xfrm>
        <a:prstGeom prst="rect">
          <a:avLst/>
        </a:prstGeom>
        <a:solidFill>
          <a:schemeClr val="bg2"/>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66676</xdr:colOff>
      <xdr:row>11</xdr:row>
      <xdr:rowOff>11430</xdr:rowOff>
    </xdr:from>
    <xdr:to>
      <xdr:col>12</xdr:col>
      <xdr:colOff>653322</xdr:colOff>
      <xdr:row>14</xdr:row>
      <xdr:rowOff>133350</xdr:rowOff>
    </xdr:to>
    <xdr:sp macro="" textlink="">
      <xdr:nvSpPr>
        <xdr:cNvPr id="4" name="Text Box 4">
          <a:extLst>
            <a:ext uri="{FF2B5EF4-FFF2-40B4-BE49-F238E27FC236}">
              <a16:creationId xmlns:a16="http://schemas.microsoft.com/office/drawing/2014/main" id="{F78B8EC6-0E53-A357-0D65-78E4139EBEF1}"/>
            </a:ext>
          </a:extLst>
        </xdr:cNvPr>
        <xdr:cNvSpPr txBox="1">
          <a:spLocks noChangeArrowheads="1"/>
        </xdr:cNvSpPr>
      </xdr:nvSpPr>
      <xdr:spPr bwMode="auto">
        <a:xfrm>
          <a:off x="247651" y="1097280"/>
          <a:ext cx="8492396" cy="55054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100" b="0" i="0" u="none" strike="noStrike" baseline="0">
              <a:solidFill>
                <a:srgbClr val="000000"/>
              </a:solidFill>
              <a:latin typeface="Calibri"/>
            </a:rPr>
            <a:t>Formule pour calculer le nombre de jours de congés payés à déduire : </a:t>
          </a:r>
        </a:p>
        <a:p>
          <a:pPr algn="l" rtl="0">
            <a:defRPr sz="1000"/>
          </a:pPr>
          <a:r>
            <a:rPr lang="fr-FR" sz="1100" b="0" i="0" u="none" strike="noStrike" baseline="0">
              <a:solidFill>
                <a:srgbClr val="000000"/>
              </a:solidFill>
              <a:latin typeface="Calibri"/>
            </a:rPr>
            <a:t>[Nombre de semaines totales d’</a:t>
          </a:r>
          <a:r>
            <a:rPr lang="fr-FR" sz="1100" b="0" i="0" u="sng" strike="noStrike" baseline="0">
              <a:solidFill>
                <a:srgbClr val="000000"/>
              </a:solidFill>
              <a:latin typeface="Calibri"/>
            </a:rPr>
            <a:t>absence pour maladie non professionnelle </a:t>
          </a:r>
          <a:r>
            <a:rPr lang="fr-FR" sz="1100" b="1" i="0" u="sng" strike="noStrike" baseline="0">
              <a:solidFill>
                <a:srgbClr val="000000"/>
              </a:solidFill>
              <a:latin typeface="Calibri"/>
            </a:rPr>
            <a:t>dans l’année de référence </a:t>
          </a:r>
          <a:r>
            <a:rPr lang="fr-FR" sz="1100" b="0" i="0" u="none" strike="noStrike" baseline="0">
              <a:solidFill>
                <a:srgbClr val="000000"/>
              </a:solidFill>
              <a:latin typeface="Calibri"/>
            </a:rPr>
            <a:t>moins </a:t>
          </a:r>
          <a:r>
            <a:rPr lang="fr-FR" sz="1100" b="0" i="0" u="none" strike="noStrike" baseline="0">
              <a:solidFill>
                <a:srgbClr val="FF0000"/>
              </a:solidFill>
              <a:latin typeface="Calibri"/>
            </a:rPr>
            <a:t>38,4</a:t>
          </a:r>
          <a:r>
            <a:rPr lang="fr-FR" sz="1100" b="0" i="0" u="none" strike="noStrike" baseline="0">
              <a:solidFill>
                <a:srgbClr val="000000"/>
              </a:solidFill>
              <a:latin typeface="Calibri"/>
            </a:rPr>
            <a:t> semaines]/4 X 2.5 dans la limite de 6 jours maximum – la règle de l’arrondi s’appliquant à la fin de l’année de référence</a:t>
          </a:r>
        </a:p>
      </xdr:txBody>
    </xdr:sp>
    <xdr:clientData/>
  </xdr:twoCellAnchor>
  <xdr:twoCellAnchor>
    <xdr:from>
      <xdr:col>1</xdr:col>
      <xdr:colOff>7621</xdr:colOff>
      <xdr:row>34</xdr:row>
      <xdr:rowOff>125730</xdr:rowOff>
    </xdr:from>
    <xdr:to>
      <xdr:col>13</xdr:col>
      <xdr:colOff>3835</xdr:colOff>
      <xdr:row>42</xdr:row>
      <xdr:rowOff>19050</xdr:rowOff>
    </xdr:to>
    <xdr:sp macro="" textlink="">
      <xdr:nvSpPr>
        <xdr:cNvPr id="5" name="Rectangle 4">
          <a:extLst>
            <a:ext uri="{FF2B5EF4-FFF2-40B4-BE49-F238E27FC236}">
              <a16:creationId xmlns:a16="http://schemas.microsoft.com/office/drawing/2014/main" id="{5BF83B51-9899-4E43-A93B-3D4FD2DD3890}"/>
            </a:ext>
          </a:extLst>
        </xdr:cNvPr>
        <xdr:cNvSpPr/>
      </xdr:nvSpPr>
      <xdr:spPr>
        <a:xfrm>
          <a:off x="188596" y="5259705"/>
          <a:ext cx="8587764" cy="1036320"/>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200"/>
            </a:lnSpc>
          </a:pPr>
          <a:r>
            <a:rPr lang="fr-FR" b="1">
              <a:solidFill>
                <a:sysClr val="windowText" lastClr="000000"/>
              </a:solidFill>
            </a:rPr>
            <a:t>Déduction des CP </a:t>
          </a:r>
          <a:r>
            <a:rPr lang="fr-FR" sz="1100" b="1">
              <a:solidFill>
                <a:sysClr val="windowText" lastClr="000000"/>
              </a:solidFill>
              <a:effectLst/>
              <a:latin typeface="+mn-lt"/>
              <a:ea typeface="+mn-ea"/>
              <a:cs typeface="+mn-cs"/>
            </a:rPr>
            <a:t>EXCLUSIVEMENT </a:t>
          </a:r>
          <a:r>
            <a:rPr lang="fr-FR" b="1">
              <a:solidFill>
                <a:sysClr val="windowText" lastClr="000000"/>
              </a:solidFill>
            </a:rPr>
            <a:t>en cas de début ou fin de contrat en cours de mois</a:t>
          </a:r>
          <a:r>
            <a:rPr lang="fr-FR">
              <a:solidFill>
                <a:sysClr val="windowText" lastClr="000000"/>
              </a:solidFill>
            </a:rPr>
            <a:t> – comptez le nombre de semaines totales du contrat comprises entre la date de début ou fin de contrat et de début ou fin d’année de référence (inclues les semaines d'absence d'accueil, programmées ou non) et</a:t>
          </a:r>
          <a:r>
            <a:rPr lang="fr-FR" baseline="0">
              <a:solidFill>
                <a:sysClr val="windowText" lastClr="000000"/>
              </a:solidFill>
            </a:rPr>
            <a:t> </a:t>
          </a:r>
          <a:r>
            <a:rPr lang="fr-FR" b="1" baseline="0">
              <a:solidFill>
                <a:sysClr val="windowText" lastClr="000000"/>
              </a:solidFill>
            </a:rPr>
            <a:t>renseignez ce nombre de semaines</a:t>
          </a:r>
          <a:r>
            <a:rPr lang="fr-FR" baseline="0">
              <a:solidFill>
                <a:sysClr val="windowText" lastClr="000000"/>
              </a:solidFill>
            </a:rPr>
            <a:t> dans les colonnes D et J ci-dessous.</a:t>
          </a:r>
        </a:p>
        <a:p>
          <a:pPr>
            <a:lnSpc>
              <a:spcPts val="1200"/>
            </a:lnSpc>
          </a:pPr>
          <a:r>
            <a:rPr lang="fr-FR" baseline="0">
              <a:solidFill>
                <a:sysClr val="windowText" lastClr="000000"/>
              </a:solidFill>
            </a:rPr>
            <a:t>Le calcul se fait ensuite</a:t>
          </a:r>
          <a:r>
            <a:rPr lang="fr-FR">
              <a:solidFill>
                <a:sysClr val="windowText" lastClr="000000"/>
              </a:solidFill>
            </a:rPr>
            <a:t> en divisant par 4 pour obtenir le nombre de périodes, multiplié par 2.5 jours de CP acquis = nombre de jours acquis au total – si le</a:t>
          </a:r>
          <a:r>
            <a:rPr lang="fr-FR" baseline="0">
              <a:solidFill>
                <a:sysClr val="windowText" lastClr="000000"/>
              </a:solidFill>
            </a:rPr>
            <a:t> </a:t>
          </a:r>
          <a:r>
            <a:rPr lang="fr-FR">
              <a:solidFill>
                <a:sysClr val="windowText" lastClr="000000"/>
              </a:solidFill>
            </a:rPr>
            <a:t>résultat est</a:t>
          </a:r>
          <a:r>
            <a:rPr lang="fr-FR" baseline="0">
              <a:solidFill>
                <a:sysClr val="windowText" lastClr="000000"/>
              </a:solidFill>
            </a:rPr>
            <a:t> </a:t>
          </a:r>
          <a:r>
            <a:rPr lang="fr-FR">
              <a:solidFill>
                <a:sysClr val="windowText" lastClr="000000"/>
              </a:solidFill>
            </a:rPr>
            <a:t>inférieur au calcul "normal" (cellules E 40, E69, E98), le nb de jours de différence sera calculé en colonne E ou K ci-dessous et déduit directement dans</a:t>
          </a:r>
          <a:r>
            <a:rPr lang="fr-FR" baseline="0">
              <a:solidFill>
                <a:sysClr val="windowText" lastClr="000000"/>
              </a:solidFill>
            </a:rPr>
            <a:t> le tableau de calcul</a:t>
          </a:r>
          <a:endParaRPr lang="fr-FR">
            <a:solidFill>
              <a:sysClr val="windowText" lastClr="000000"/>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AC9C3-271B-442D-80D7-83DE81A739E9}">
  <sheetPr codeName="Feuil2">
    <pageSetUpPr fitToPage="1"/>
  </sheetPr>
  <dimension ref="A1:R108"/>
  <sheetViews>
    <sheetView showGridLines="0" tabSelected="1" zoomScale="75" zoomScaleNormal="75" zoomScaleSheetLayoutView="95" zoomScalePageLayoutView="96" workbookViewId="0">
      <selection activeCell="I17" sqref="I17"/>
    </sheetView>
  </sheetViews>
  <sheetFormatPr baseColWidth="10" defaultColWidth="13.83203125" defaultRowHeight="11.25" x14ac:dyDescent="0.2"/>
  <cols>
    <col min="1" max="1" width="3.6640625" customWidth="1"/>
    <col min="2" max="2" width="32.33203125" customWidth="1"/>
    <col min="3" max="3" width="13" customWidth="1"/>
    <col min="4" max="4" width="3" customWidth="1"/>
    <col min="5" max="5" width="7" customWidth="1"/>
    <col min="6" max="6" width="6.83203125" customWidth="1"/>
    <col min="7" max="7" width="26" customWidth="1"/>
    <col min="8" max="8" width="0.6640625" customWidth="1"/>
    <col min="9" max="9" width="18.1640625" customWidth="1"/>
    <col min="10" max="10" width="17.6640625" customWidth="1"/>
    <col min="11" max="11" width="39.5" customWidth="1"/>
    <col min="12" max="12" width="17.6640625" customWidth="1"/>
    <col min="13" max="13" width="19.5" customWidth="1"/>
    <col min="14" max="14" width="62" customWidth="1"/>
    <col min="15" max="15" width="19.1640625" customWidth="1"/>
    <col min="16" max="16" width="13.83203125" style="98" hidden="1" customWidth="1"/>
    <col min="17" max="17" width="4.6640625" customWidth="1"/>
    <col min="18" max="18" width="9" customWidth="1"/>
    <col min="19" max="19" width="9.5" customWidth="1"/>
    <col min="20" max="20" width="3.6640625" customWidth="1"/>
    <col min="22" max="22" width="8.6640625" customWidth="1"/>
    <col min="23" max="23" width="3.33203125" customWidth="1"/>
    <col min="24" max="24" width="1.6640625" customWidth="1"/>
  </cols>
  <sheetData>
    <row r="1" spans="1:16" ht="66.75" customHeight="1" x14ac:dyDescent="0.2">
      <c r="A1" s="212" t="str">
        <f>IF(AND($A$13="x",$A$14=""),"CALCUL  DES CONGES PAYES : Mensualisation Congés payées Non Inclus
",IF(AND($A$13="",$A$14="x"),"CALCUL  DES CONGES PAYES: Mensualisation Congés payés Inclus",""))</f>
        <v>CALCUL  DES CONGES PAYES: Mensualisation Congés payés Inclus</v>
      </c>
      <c r="B1" s="212"/>
      <c r="C1" s="212"/>
      <c r="D1" s="212"/>
      <c r="E1" s="212"/>
      <c r="F1" s="212"/>
      <c r="G1" s="212"/>
      <c r="H1" s="212"/>
      <c r="I1" s="212"/>
      <c r="J1" s="212"/>
      <c r="K1" s="212"/>
      <c r="L1" s="212"/>
      <c r="M1" s="212"/>
      <c r="N1" s="212"/>
      <c r="O1" s="212"/>
    </row>
    <row r="2" spans="1:16" ht="9" customHeight="1" x14ac:dyDescent="0.2"/>
    <row r="3" spans="1:16" ht="3.75" customHeight="1" x14ac:dyDescent="0.2"/>
    <row r="4" spans="1:16" ht="18.75" customHeight="1" x14ac:dyDescent="0.2">
      <c r="A4" s="231" t="s">
        <v>51</v>
      </c>
      <c r="B4" s="231"/>
      <c r="C4" s="231"/>
      <c r="D4" s="78"/>
      <c r="E4" s="230"/>
      <c r="F4" s="230"/>
      <c r="G4" s="230"/>
      <c r="H4" s="230"/>
      <c r="I4" s="230"/>
      <c r="J4" s="230"/>
      <c r="K4" s="262" t="s">
        <v>52</v>
      </c>
      <c r="L4" s="262"/>
      <c r="M4" s="137"/>
      <c r="N4" s="230"/>
      <c r="O4" s="230"/>
    </row>
    <row r="5" spans="1:16" ht="1.5" customHeight="1" x14ac:dyDescent="0.2">
      <c r="A5" s="14"/>
      <c r="B5" s="14"/>
    </row>
    <row r="6" spans="1:16" ht="1.5" customHeight="1" x14ac:dyDescent="0.2">
      <c r="A6" s="14"/>
      <c r="B6" s="14"/>
    </row>
    <row r="7" spans="1:16" ht="1.5" customHeight="1" x14ac:dyDescent="0.2">
      <c r="A7" s="14"/>
      <c r="B7" s="14"/>
    </row>
    <row r="8" spans="1:16" ht="18.75" customHeight="1" x14ac:dyDescent="0.2">
      <c r="A8" s="256" t="s">
        <v>50</v>
      </c>
      <c r="B8" s="256"/>
      <c r="C8" s="256"/>
      <c r="D8" s="77"/>
      <c r="E8" s="230"/>
      <c r="F8" s="230"/>
      <c r="G8" s="230"/>
      <c r="H8" s="230"/>
      <c r="I8" s="230"/>
      <c r="J8" s="230"/>
      <c r="K8" s="230"/>
      <c r="L8" s="230"/>
      <c r="M8" s="230"/>
      <c r="N8" s="230"/>
      <c r="O8" s="230"/>
    </row>
    <row r="9" spans="1:16" ht="1.5" customHeight="1" x14ac:dyDescent="0.2">
      <c r="A9" s="4"/>
      <c r="B9" s="4"/>
    </row>
    <row r="10" spans="1:16" ht="16.5" customHeight="1" x14ac:dyDescent="0.2">
      <c r="A10" s="229" t="s">
        <v>46</v>
      </c>
      <c r="B10" s="229"/>
      <c r="C10" s="229"/>
      <c r="D10" s="229"/>
      <c r="E10" s="229"/>
      <c r="F10" s="229"/>
      <c r="G10" s="229"/>
      <c r="H10" s="229"/>
      <c r="I10" s="229"/>
      <c r="J10" s="229"/>
      <c r="K10" s="229"/>
      <c r="L10" s="229"/>
      <c r="M10" s="229"/>
      <c r="N10" s="229"/>
      <c r="O10" s="229"/>
      <c r="P10" s="99"/>
    </row>
    <row r="11" spans="1:16" ht="21" customHeight="1" x14ac:dyDescent="0.2">
      <c r="A11" s="2"/>
      <c r="B11" s="229" t="s">
        <v>32</v>
      </c>
      <c r="C11" s="229"/>
      <c r="D11" s="229"/>
      <c r="E11" s="229"/>
      <c r="F11" s="229"/>
      <c r="G11" s="229"/>
      <c r="H11" s="229"/>
      <c r="I11" s="229"/>
      <c r="J11" s="229"/>
      <c r="K11" s="229"/>
      <c r="L11" s="229"/>
      <c r="M11" s="229"/>
      <c r="N11" s="229"/>
      <c r="O11" s="229"/>
      <c r="P11" s="99"/>
    </row>
    <row r="12" spans="1:16" ht="11.25" customHeight="1" x14ac:dyDescent="0.2">
      <c r="A12" s="199" t="s">
        <v>47</v>
      </c>
      <c r="B12" s="200"/>
      <c r="C12" s="200"/>
      <c r="D12" s="200"/>
      <c r="E12" s="200"/>
      <c r="F12" s="201"/>
    </row>
    <row r="13" spans="1:16" ht="21" x14ac:dyDescent="0.35">
      <c r="A13" s="6"/>
      <c r="B13" s="292" t="s">
        <v>29</v>
      </c>
      <c r="C13" s="293"/>
      <c r="D13" s="293"/>
      <c r="E13" s="293"/>
      <c r="F13" s="294"/>
      <c r="G13" s="202" t="str">
        <f>IF(AND(A13="x",A14="x"), "Attention, veuillez saisir une seule cellule, recommencez! ",IF(AND(A13="",A14=""),"ATTENTION ,veuillez saisir ci contre le calcul des congés payés ",""))</f>
        <v/>
      </c>
      <c r="H13" s="203"/>
      <c r="I13" s="203"/>
      <c r="J13" s="203"/>
      <c r="K13" s="203"/>
      <c r="L13" s="203"/>
      <c r="M13" s="203"/>
      <c r="N13" s="203"/>
      <c r="O13" s="203"/>
    </row>
    <row r="14" spans="1:16" ht="19.5" customHeight="1" x14ac:dyDescent="0.5">
      <c r="A14" s="6" t="s">
        <v>49</v>
      </c>
      <c r="B14" s="295" t="s">
        <v>30</v>
      </c>
      <c r="C14" s="296"/>
      <c r="D14" s="296"/>
      <c r="E14" s="296"/>
      <c r="F14" s="297"/>
      <c r="G14" s="235" t="s">
        <v>76</v>
      </c>
      <c r="H14" s="236"/>
      <c r="I14" s="236"/>
      <c r="J14" s="194"/>
      <c r="K14" s="7"/>
      <c r="O14" s="9"/>
      <c r="P14" s="100"/>
    </row>
    <row r="15" spans="1:16" ht="3.75" customHeight="1" x14ac:dyDescent="0.2">
      <c r="B15" s="2"/>
      <c r="N15" s="3"/>
    </row>
    <row r="16" spans="1:16" ht="3" customHeight="1" x14ac:dyDescent="0.2">
      <c r="N16" s="3"/>
    </row>
    <row r="17" spans="1:16" ht="15.75" x14ac:dyDescent="0.25">
      <c r="A17" s="243" t="s">
        <v>31</v>
      </c>
      <c r="B17" s="244"/>
      <c r="C17" s="244"/>
      <c r="D17" s="244"/>
      <c r="E17" s="244"/>
      <c r="F17" s="244"/>
      <c r="G17" s="245"/>
      <c r="I17" s="15"/>
      <c r="J17" s="1"/>
      <c r="K17" s="1"/>
      <c r="L17" s="1"/>
      <c r="M17" s="1"/>
      <c r="N17" s="1"/>
      <c r="O17" s="1"/>
      <c r="P17" s="101"/>
    </row>
    <row r="18" spans="1:16" ht="3.75" customHeight="1" x14ac:dyDescent="0.25">
      <c r="A18" s="1"/>
      <c r="B18" s="1"/>
      <c r="C18" s="1"/>
      <c r="D18" s="1"/>
      <c r="E18" s="1"/>
      <c r="F18" s="1"/>
      <c r="G18" s="1"/>
      <c r="I18" s="1"/>
      <c r="J18" s="1"/>
      <c r="K18" s="1"/>
      <c r="L18" s="1"/>
      <c r="M18" s="1"/>
      <c r="N18" s="1"/>
      <c r="O18" s="8">
        <f>IF(AND(A13="x",A14=""),I26/10,IF(AND(A13="",A14="x"),(I26/110)*10,""))</f>
        <v>0</v>
      </c>
    </row>
    <row r="19" spans="1:16" ht="18.75" customHeight="1" x14ac:dyDescent="0.25">
      <c r="A19" s="216" t="s">
        <v>23</v>
      </c>
      <c r="B19" s="217"/>
      <c r="C19" s="217"/>
      <c r="D19" s="217"/>
      <c r="E19" s="217"/>
      <c r="F19" s="217"/>
      <c r="G19" s="218"/>
      <c r="J19" s="16"/>
      <c r="K19" s="138" t="s">
        <v>20</v>
      </c>
      <c r="L19" s="17"/>
      <c r="M19" s="184"/>
      <c r="O19" s="10"/>
      <c r="P19" s="101"/>
    </row>
    <row r="20" spans="1:16" ht="21" customHeight="1" x14ac:dyDescent="0.25">
      <c r="A20" s="232" t="s">
        <v>35</v>
      </c>
      <c r="B20" s="233"/>
      <c r="C20" s="233"/>
      <c r="D20" s="233"/>
      <c r="E20" s="233"/>
      <c r="F20" s="233"/>
      <c r="G20" s="234"/>
      <c r="I20" s="263" t="s">
        <v>42</v>
      </c>
      <c r="J20" s="264"/>
      <c r="K20" s="264"/>
      <c r="L20" s="264"/>
      <c r="M20" s="264"/>
      <c r="N20" s="264"/>
      <c r="O20" s="265"/>
      <c r="P20" s="101"/>
    </row>
    <row r="21" spans="1:16" ht="1.5" customHeight="1" x14ac:dyDescent="0.25">
      <c r="A21" s="11"/>
      <c r="B21" s="11"/>
      <c r="C21" s="11"/>
      <c r="D21" s="11"/>
      <c r="E21" s="11"/>
      <c r="F21" s="11"/>
      <c r="G21" s="11"/>
      <c r="P21" s="101"/>
    </row>
    <row r="22" spans="1:16" ht="17.25" customHeight="1" x14ac:dyDescent="0.2">
      <c r="A22" s="246" t="s">
        <v>24</v>
      </c>
      <c r="B22" s="247"/>
      <c r="C22" s="247"/>
      <c r="D22" s="247"/>
      <c r="E22" s="247"/>
      <c r="F22" s="108"/>
      <c r="G22" s="18" t="s">
        <v>3</v>
      </c>
      <c r="H22" s="19"/>
      <c r="I22" s="209" t="s">
        <v>34</v>
      </c>
      <c r="J22" s="210"/>
      <c r="K22" s="210"/>
      <c r="L22" s="211"/>
      <c r="M22" s="185"/>
      <c r="N22" s="268" t="s">
        <v>33</v>
      </c>
      <c r="O22" s="269"/>
    </row>
    <row r="23" spans="1:16" ht="18" customHeight="1" x14ac:dyDescent="0.2">
      <c r="A23" s="298" t="s">
        <v>39</v>
      </c>
      <c r="B23" s="298"/>
      <c r="C23" s="298"/>
      <c r="D23" s="298"/>
      <c r="E23" s="298"/>
      <c r="F23" s="219" t="s">
        <v>38</v>
      </c>
      <c r="G23" s="220"/>
      <c r="H23" s="19"/>
      <c r="I23" s="215" t="str">
        <f>IF(AND(A13="x",A14=""),"Salaires BRUT versés /mois Hors Heures comp/supp",IF(AND(A13="",A14="x"),"Salaires BRUT mensualisés",""))</f>
        <v>Salaires BRUT mensualisés</v>
      </c>
      <c r="J23" s="225" t="str">
        <f>IF(AND(A13="x",A14=""),"1ère formule de Calcul (Sur salaire Brut): 11%",IF(AND(A13="",A14="x"),"Dont les congés payés inclus",""))</f>
        <v>Dont les congés payés inclus</v>
      </c>
      <c r="K23" s="225" t="str">
        <f>IF(AND(A13="x",A14=""),"Heures comp/supp-Indiquer le montant du salaire BRUT correspondant uniquement aux Heures complet/ou suppl versées/mois",IF(AND(A13="",A14="x"),"Heures comp/supp-Indiquer le montant du salaire BRUT correspondant uniquement aux Heures complet/ou suppl versées/mois",""))</f>
        <v>Heures comp/supp-Indiquer le montant du salaire BRUT correspondant uniquement aux Heures complet/ou suppl versées/mois</v>
      </c>
      <c r="L23" s="225" t="str">
        <f>IF(AND(A13="x",A14=""),"1ère formule de Calcul (Sur les heures comp/supp): 11%",IF(AND(A13="",A14="x"),"",""))</f>
        <v/>
      </c>
      <c r="M23" s="227" t="str">
        <f>IF(AND(A13="x",A14=""),"Autre formule de calcul",IF(AND(A13="",A14="x"),"Montant Congés à percevoir heures comp ou supp  à 11%",""))</f>
        <v>Montant Congés à percevoir heures comp ou supp  à 11%</v>
      </c>
      <c r="N23" s="266" t="s">
        <v>4</v>
      </c>
      <c r="O23" s="267"/>
    </row>
    <row r="24" spans="1:16" ht="80.25" customHeight="1" x14ac:dyDescent="0.2">
      <c r="A24" s="298"/>
      <c r="B24" s="298"/>
      <c r="C24" s="299"/>
      <c r="D24" s="299"/>
      <c r="E24" s="298"/>
      <c r="F24" s="221"/>
      <c r="G24" s="222"/>
      <c r="H24" s="19"/>
      <c r="I24" s="215"/>
      <c r="J24" s="226"/>
      <c r="K24" s="226"/>
      <c r="L24" s="226"/>
      <c r="M24" s="228"/>
      <c r="N24" s="266"/>
      <c r="O24" s="267"/>
    </row>
    <row r="25" spans="1:16" ht="14.25" customHeight="1" x14ac:dyDescent="0.2">
      <c r="A25" s="187"/>
      <c r="B25" s="188"/>
      <c r="C25" s="188"/>
      <c r="D25" s="189"/>
      <c r="E25" s="186"/>
      <c r="F25" s="207" t="str">
        <f>IF(AND(J14="oui",O91="non"),"Le -non- est activé en cellule O91,modifié en -oui-, si report des CP ","")</f>
        <v/>
      </c>
      <c r="G25" s="208"/>
      <c r="H25" s="208"/>
      <c r="I25" s="208"/>
      <c r="J25" s="208"/>
      <c r="K25" s="208"/>
      <c r="L25" s="208"/>
      <c r="M25" s="109"/>
      <c r="N25" s="134" t="s">
        <v>5</v>
      </c>
      <c r="O25" s="110"/>
    </row>
    <row r="26" spans="1:16" ht="15.75" customHeight="1" x14ac:dyDescent="0.25">
      <c r="A26" s="36" t="s">
        <v>19</v>
      </c>
      <c r="B26" s="37"/>
      <c r="C26" s="158" t="str">
        <f>IF(ISBLANK(J19),"janvier",J19)</f>
        <v>janvier</v>
      </c>
      <c r="D26" s="79"/>
      <c r="E26" s="156">
        <v>0</v>
      </c>
      <c r="F26" s="197"/>
      <c r="G26" s="198"/>
      <c r="H26" s="19"/>
      <c r="I26" s="51"/>
      <c r="J26" s="22">
        <f>IF(AND($A$13="x",$A$14=""),$I$26*11/100,IF(AND($A$13="",$A$14="x"),(($I$26/1.1)*11%),""))</f>
        <v>0</v>
      </c>
      <c r="K26" s="23"/>
      <c r="L26" s="22" t="str">
        <f>IF(AND($A$13="x",$A$14=""),$K$26*11/100,"")</f>
        <v/>
      </c>
      <c r="M26" s="24">
        <f>IF(AND($A$13="x",$A$14=""),($I$26+$K$26)/10,IF(AND($A$13="",$A$14="x"),$K$26*11/100,""))</f>
        <v>0</v>
      </c>
      <c r="N26" s="111" t="s">
        <v>6</v>
      </c>
      <c r="O26" s="25">
        <f>ROUNDUP(O25/26,2)</f>
        <v>0</v>
      </c>
      <c r="P26" s="101"/>
    </row>
    <row r="27" spans="1:16" ht="14.25" x14ac:dyDescent="0.2">
      <c r="A27" s="20" t="s">
        <v>18</v>
      </c>
      <c r="B27" s="21"/>
      <c r="C27" s="83" t="str">
        <f>IF(ISBLANK(J$19),"février",(EDATE(C26,1)))</f>
        <v>février</v>
      </c>
      <c r="D27" s="79"/>
      <c r="E27" s="86">
        <v>0</v>
      </c>
      <c r="F27" s="197"/>
      <c r="G27" s="198"/>
      <c r="H27" s="19"/>
      <c r="I27" s="51"/>
      <c r="J27" s="22">
        <f>IF(AND($A$13="x",$A$14=""),$I$27*11/100,IF(AND($A$13="",$A$14="x"),(($I$27/1.1)*11%),""))</f>
        <v>0</v>
      </c>
      <c r="K27" s="23"/>
      <c r="L27" s="22" t="str">
        <f>IF(AND($A$13="x",$A$14=""),$K$27*11/100,"")</f>
        <v/>
      </c>
      <c r="M27" s="24">
        <f>IF(AND($A$13="x",$A$14=""),($I$27+$K$27)/10,IF(AND($A$13="",$A$14="x"),$K$27*11/100,""))</f>
        <v>0</v>
      </c>
      <c r="N27" s="112" t="s">
        <v>41</v>
      </c>
      <c r="O27" s="113">
        <f>F41*O26</f>
        <v>0</v>
      </c>
    </row>
    <row r="28" spans="1:16" ht="15.75" x14ac:dyDescent="0.25">
      <c r="A28" s="20" t="s">
        <v>17</v>
      </c>
      <c r="B28" s="21"/>
      <c r="C28" s="83" t="str">
        <f>IF(ISBLANK(J$19),"mars",(EDATE(C27,1)))</f>
        <v>mars</v>
      </c>
      <c r="D28" s="79"/>
      <c r="E28" s="86">
        <v>0</v>
      </c>
      <c r="F28" s="197"/>
      <c r="G28" s="198"/>
      <c r="H28" s="19"/>
      <c r="I28" s="51"/>
      <c r="J28" s="22">
        <f>IF(AND($A$13="x",$A$14=""),$I$28*11/100,IF(AND($A$13="",$A$14="x"),(($I$28/1.1)*11%),""))</f>
        <v>0</v>
      </c>
      <c r="K28" s="23"/>
      <c r="L28" s="22" t="str">
        <f>IF(AND($A$13="x",$A$14=""),$K$28*11/100,"")</f>
        <v/>
      </c>
      <c r="M28" s="24">
        <f>IF(AND($A$13="x",$A$14=""),($I$28+$K$28)/10,IF(AND($A$13="",$A$14="x"),$K$28*11/100,""))</f>
        <v>0</v>
      </c>
      <c r="N28" s="114" t="s">
        <v>63</v>
      </c>
      <c r="O28" s="115">
        <f>E43*O26</f>
        <v>0</v>
      </c>
      <c r="P28" s="98">
        <f>IF(AND(valeur_cp_non_pris&lt;0,O33="oui"),-valeur_cp_non_pris,0)</f>
        <v>0</v>
      </c>
    </row>
    <row r="29" spans="1:16" ht="14.25" x14ac:dyDescent="0.2">
      <c r="A29" s="20" t="s">
        <v>16</v>
      </c>
      <c r="B29" s="21"/>
      <c r="C29" s="83" t="str">
        <f>IF(ISBLANK(J$19),"avril",(EDATE(C28,1)))</f>
        <v>avril</v>
      </c>
      <c r="D29" s="79"/>
      <c r="E29" s="86">
        <v>0</v>
      </c>
      <c r="F29" s="197"/>
      <c r="G29" s="198"/>
      <c r="H29" s="19"/>
      <c r="I29" s="51"/>
      <c r="J29" s="22">
        <f>IF(AND($A$13="x",$A$14=""),$I$29*11/100,IF(AND($A$13="",$A$14="x"),(($I$29/1.1)*11%),""))</f>
        <v>0</v>
      </c>
      <c r="K29" s="23"/>
      <c r="L29" s="22" t="str">
        <f>IF(AND($A$13="x",$A$14=""),$K$29*11/100,"")</f>
        <v/>
      </c>
      <c r="M29" s="24">
        <f>IF(AND($A$13="x",$A$14=""),($I$29+$K$29)/10,IF(AND($A$13="",$A$14="x"),$K$29*11/100,""))</f>
        <v>0</v>
      </c>
      <c r="N29" s="116" t="s">
        <v>40</v>
      </c>
      <c r="O29" s="26">
        <f>F40*O26</f>
        <v>0</v>
      </c>
    </row>
    <row r="30" spans="1:16" ht="14.25" x14ac:dyDescent="0.2">
      <c r="A30" s="20" t="s">
        <v>15</v>
      </c>
      <c r="B30" s="21"/>
      <c r="C30" s="83" t="str">
        <f>IF(ISBLANK(J$19),"mai",(EDATE(C29,1)))</f>
        <v>mai</v>
      </c>
      <c r="D30" s="79"/>
      <c r="E30" s="86">
        <v>0</v>
      </c>
      <c r="F30" s="197"/>
      <c r="G30" s="198"/>
      <c r="H30" s="19"/>
      <c r="I30" s="51"/>
      <c r="J30" s="22">
        <f>IF(AND($A$13="x",$A$14=""),$I$30*11/100,IF(AND($A$13="",$A$14="x"),(($I$30/1.1)*11%),""))</f>
        <v>0</v>
      </c>
      <c r="K30" s="23"/>
      <c r="L30" s="22" t="str">
        <f>IF(AND($A$13="x",$A$14=""),$K$30*11/100,"")</f>
        <v/>
      </c>
      <c r="M30" s="24">
        <f>IF(AND($A$13="x",$A$14=""),($I$30+$K$30)/10,IF(AND($A$13="",$A$14="x"),$K$30*11/100,""))</f>
        <v>0</v>
      </c>
      <c r="N30" s="128"/>
      <c r="O30" s="129"/>
    </row>
    <row r="31" spans="1:16" ht="14.25" x14ac:dyDescent="0.2">
      <c r="A31" s="20" t="s">
        <v>14</v>
      </c>
      <c r="B31" s="21"/>
      <c r="C31" s="83" t="str">
        <f>IF(ISBLANK(J$19),"juin",(EDATE(C30,1)))</f>
        <v>juin</v>
      </c>
      <c r="D31" s="79"/>
      <c r="E31" s="86">
        <v>0</v>
      </c>
      <c r="F31" s="197"/>
      <c r="G31" s="198"/>
      <c r="H31" s="19"/>
      <c r="I31" s="51"/>
      <c r="J31" s="22">
        <f>IF(AND($A$13="x",$A$14=""),$I$31*11/100,IF(AND($A$13="",$A$14="x"),(($I$31/1.1)*11%),""))</f>
        <v>0</v>
      </c>
      <c r="K31" s="23"/>
      <c r="L31" s="22" t="str">
        <f>IF(AND($A$13="x",$A$14=""),$K$31*11/100,"")</f>
        <v/>
      </c>
      <c r="M31" s="24">
        <f>IF(AND($A$13="x",$A$14=""),($I$31+$K$31)/10,IF(AND($A$13="",$A$14="x"),$K$31*11/100,""))</f>
        <v>0</v>
      </c>
      <c r="N31" s="119" t="s">
        <v>65</v>
      </c>
      <c r="O31" s="117">
        <f>IF(P32&lt;=0,0,(total_cp_acquis-valeur_cp_pris)+(valeur_cp_pris-O32))</f>
        <v>0</v>
      </c>
    </row>
    <row r="32" spans="1:16" ht="14.25" x14ac:dyDescent="0.2">
      <c r="A32" s="20" t="s">
        <v>13</v>
      </c>
      <c r="B32" s="21"/>
      <c r="C32" s="83" t="str">
        <f>IF(ISBLANK(J$19),"juillet",(EDATE(C31,1)))</f>
        <v>juillet</v>
      </c>
      <c r="D32" s="79"/>
      <c r="E32" s="86">
        <v>0</v>
      </c>
      <c r="F32" s="197"/>
      <c r="G32" s="198"/>
      <c r="H32" s="19"/>
      <c r="I32" s="51"/>
      <c r="J32" s="22">
        <f>IF(AND($A$13="x",$A$14=""),$I$32*11/100,IF(AND($A$13="",$A$14="x"),(($I$32/1.1)*11%),""))</f>
        <v>0</v>
      </c>
      <c r="K32" s="23"/>
      <c r="L32" s="22" t="str">
        <f>IF(AND($A$13="x",$A$14=""),$K$32*11/100,"")</f>
        <v/>
      </c>
      <c r="M32" s="24">
        <f>IF(AND($A$13="x",$A$14=""),($I$32+$K$32)/10,IF(AND($A$13="",$A$14="x"),$K$32*11/100,""))</f>
        <v>0</v>
      </c>
      <c r="N32" s="120" t="s">
        <v>64</v>
      </c>
      <c r="O32" s="118">
        <f>IF(total_cp_10_cent&gt;K40,total_cp_10_cent,K40)</f>
        <v>0</v>
      </c>
      <c r="P32" s="102">
        <f>(total_cp_acquis-valeur_cp_pris)+(valeur_cp_pris-total_cp_10_cent)</f>
        <v>0</v>
      </c>
    </row>
    <row r="33" spans="1:16" ht="15.75" x14ac:dyDescent="0.2">
      <c r="A33" s="20" t="s">
        <v>12</v>
      </c>
      <c r="B33" s="21"/>
      <c r="C33" s="83" t="str">
        <f>IF(ISBLANK(J$19),"aout",(EDATE(C32,1)))</f>
        <v>aout</v>
      </c>
      <c r="D33" s="79"/>
      <c r="E33" s="86">
        <v>0</v>
      </c>
      <c r="F33" s="197"/>
      <c r="G33" s="198"/>
      <c r="H33" s="19"/>
      <c r="I33" s="51"/>
      <c r="J33" s="22">
        <f>IF(AND($A$13="x",$A$14=""),$I$33*11/100,IF(AND($A$13="",$A$14="x"),(($I$33/1.1)*11%),""))</f>
        <v>0</v>
      </c>
      <c r="K33" s="23"/>
      <c r="L33" s="22" t="str">
        <f>IF(AND($A$13="x",$A$14=""),$K$33*11/100,"")</f>
        <v/>
      </c>
      <c r="M33" s="24">
        <f>IF(AND($A$13="x",$A$14=""),($I$33+$K$33)/10,IF(AND($A$13="",$A$14="x"),$K$33*11/100,""))</f>
        <v>0</v>
      </c>
      <c r="N33" s="130" t="s">
        <v>45</v>
      </c>
      <c r="O33" s="28" t="s">
        <v>2</v>
      </c>
    </row>
    <row r="34" spans="1:16" ht="14.25" x14ac:dyDescent="0.2">
      <c r="A34" s="20" t="s">
        <v>11</v>
      </c>
      <c r="B34" s="21"/>
      <c r="C34" s="83" t="str">
        <f>IF(ISBLANK(J$19),"septembre",(EDATE(C33,1)))</f>
        <v>septembre</v>
      </c>
      <c r="D34" s="79"/>
      <c r="E34" s="86">
        <v>0</v>
      </c>
      <c r="F34" s="197"/>
      <c r="G34" s="198"/>
      <c r="H34" s="19"/>
      <c r="I34" s="51"/>
      <c r="J34" s="22">
        <f>IF(AND($A$13="x",$A$14=""),$I$34*11/100,IF(AND($A$13="",$A$14="x"),(($I$34/1.1)*11%),""))</f>
        <v>0</v>
      </c>
      <c r="K34" s="23"/>
      <c r="L34" s="22" t="str">
        <f>IF(AND($A$13="x",$A$14=""),$K$34*11/100,"")</f>
        <v/>
      </c>
      <c r="M34" s="24">
        <f>IF(AND($A$13="x",$A$14=""),($I$34+$K$34)/10,IF(AND($A$13="",$A$14="x"),$K$34*11/100,""))</f>
        <v>0</v>
      </c>
      <c r="N34" s="131"/>
    </row>
    <row r="35" spans="1:16" ht="14.25" customHeight="1" x14ac:dyDescent="0.2">
      <c r="A35" s="20" t="s">
        <v>8</v>
      </c>
      <c r="B35" s="21"/>
      <c r="C35" s="83" t="str">
        <f>IF(ISBLANK(J$19),"octobre",(EDATE(C34,1)))</f>
        <v>octobre</v>
      </c>
      <c r="D35" s="79"/>
      <c r="E35" s="86">
        <v>0</v>
      </c>
      <c r="F35" s="197"/>
      <c r="G35" s="198"/>
      <c r="H35" s="19"/>
      <c r="I35" s="51"/>
      <c r="J35" s="22">
        <f>IF(AND($A$13="x",$A$14=""),$I$35*11/100,IF(AND($A$13="",$A$14="x"),(($I$35/1.1)*11%),""))</f>
        <v>0</v>
      </c>
      <c r="K35" s="23"/>
      <c r="L35" s="22" t="str">
        <f>IF(AND($A$13="x",$A$14=""),$K$35*11/100,"")</f>
        <v/>
      </c>
      <c r="M35" s="24">
        <f>IF(AND($A$13="x",$A$14=""),($I$35+$K$35)/10,IF(AND($A$13="",$A$14="x"),$K$35*11/100,""))</f>
        <v>0</v>
      </c>
      <c r="N35" s="132"/>
      <c r="O35" s="19"/>
      <c r="P35" s="103"/>
    </row>
    <row r="36" spans="1:16" ht="15" x14ac:dyDescent="0.25">
      <c r="A36" s="20" t="s">
        <v>9</v>
      </c>
      <c r="B36" s="21"/>
      <c r="C36" s="83" t="str">
        <f>IF(ISBLANK(J$19),"novembre",(EDATE(C35,1)))</f>
        <v>novembre</v>
      </c>
      <c r="D36" s="79"/>
      <c r="E36" s="86">
        <v>0</v>
      </c>
      <c r="F36" s="197"/>
      <c r="G36" s="198"/>
      <c r="H36" s="19"/>
      <c r="I36" s="51"/>
      <c r="J36" s="22">
        <f>IF(AND($A$13="x",$A$14=""),$I$36*11/100,IF(AND($A$13="",$A$14="x"),(($I$36/1.1)*11%),""))</f>
        <v>0</v>
      </c>
      <c r="K36" s="23"/>
      <c r="L36" s="22" t="str">
        <f>IF(AND($A$13="x",$A$14=""),$K$36*11/100,"")</f>
        <v/>
      </c>
      <c r="M36" s="24">
        <f>IF(AND($A$13="x",$A$14=""),($I$36+$K$36)/10,IF(AND($A$13="",$A$14="x"),$K$36*11/100,""))</f>
        <v>0</v>
      </c>
      <c r="N36" s="213" t="s">
        <v>43</v>
      </c>
      <c r="O36" s="214"/>
      <c r="P36" s="101"/>
    </row>
    <row r="37" spans="1:16" ht="14.25" x14ac:dyDescent="0.2">
      <c r="A37" s="30" t="s">
        <v>10</v>
      </c>
      <c r="B37" s="31"/>
      <c r="C37" s="83" t="str">
        <f>IF(ISBLANK(J$19),"décembre",(EDATE(C36,1)))</f>
        <v>décembre</v>
      </c>
      <c r="D37" s="84"/>
      <c r="E37" s="87">
        <v>0</v>
      </c>
      <c r="F37" s="197"/>
      <c r="G37" s="198"/>
      <c r="H37" s="19"/>
      <c r="I37" s="51"/>
      <c r="J37" s="22">
        <f>IF(AND($A$13="x",$A$14=""),$I$37*11/100,IF(AND($A$13="",$A$14="x"),(($I$37/1.1)*11%),""))</f>
        <v>0</v>
      </c>
      <c r="K37" s="33"/>
      <c r="L37" s="22" t="str">
        <f>IF(AND($A$13="x",$A$14=""),$K$37*11/100,"")</f>
        <v/>
      </c>
      <c r="M37" s="24">
        <f>IF(AND($A$13="x",$A$14=""),($I$37+$K$37)/10,IF(AND($A$13="",$A$14="x"),$K$37*11/100,""))</f>
        <v>0</v>
      </c>
      <c r="N37" s="213" t="s">
        <v>44</v>
      </c>
      <c r="O37" s="214"/>
    </row>
    <row r="38" spans="1:16" ht="15" customHeight="1" x14ac:dyDescent="0.2">
      <c r="A38" s="254" t="str">
        <f>IF(AND(A13="x",A14=""),"Régularisation Congés payés fin d'année de référence  (Autre formule 10% sur CP)",IF(AND(A13="",A14="x"),"Total des Cp inclus + total CP Hrs comp/sup (cellule I)",""))</f>
        <v>Total des Cp inclus + total CP Hrs comp/sup (cellule I)</v>
      </c>
      <c r="B38" s="255"/>
      <c r="C38" s="255"/>
      <c r="D38" s="255"/>
      <c r="E38" s="255"/>
      <c r="F38" s="255"/>
      <c r="G38" s="255"/>
      <c r="H38" s="255"/>
      <c r="I38" s="255"/>
      <c r="J38" s="72">
        <f>IF(AND($A$13="x",$A$14=""),"",IF(AND($A$13="",$A$14="x"),($J$26+$J$27+$J$28+$J$29+$J$30+$J$31+$J$32+$J$33+$J$34+$J$35+$J$36+$J$37),""))</f>
        <v>0</v>
      </c>
      <c r="K38" s="34" t="str">
        <f>IF(AND($A$13="x",$A$14=""),"",IF(AND($A$13="",$A$14="x"),"Total CP= Hrs Comp/Supp",""))</f>
        <v>Total CP= Hrs Comp/Supp</v>
      </c>
      <c r="L38" s="34"/>
      <c r="M38" s="35">
        <f>IF(AND($A$13="x",$A$14=""),($M$26+$M$27+$M$28+$M$29+$M$30+$M$31+$M$32+$M$33+$M$34+$M$35+$M$36+$M$37)/10,IF(AND($A$13="",$A$14="x"),$M$26+$M$27+$M$28+$M$29+$M$30+$M$31+$M$32+$M$33+$M$34+$M$35+$M$36+$M$37,""))</f>
        <v>0</v>
      </c>
      <c r="N38" s="261" t="s">
        <v>66</v>
      </c>
      <c r="O38" s="277">
        <f>IF(AND(O33="oui",valeur_cp_non_pris&gt;0),O31,IF(AND(O33="non",valeur_cp_non_pris&lt;0),O31,valeur_cp_non_pris+O31))+IF(AND(valeur_cp_non_pris&lt;0,O33="oui"),O31,0)</f>
        <v>0</v>
      </c>
      <c r="P38" s="270"/>
    </row>
    <row r="39" spans="1:16" ht="15" customHeight="1" x14ac:dyDescent="0.2">
      <c r="A39" s="257" t="s">
        <v>83</v>
      </c>
      <c r="B39" s="258"/>
      <c r="C39" s="258"/>
      <c r="D39" s="259"/>
      <c r="E39" s="165">
        <f>'Explication déduction CP'!E27+'Explication déduction CP'!E50</f>
        <v>0</v>
      </c>
      <c r="G39" s="122"/>
      <c r="N39" s="261"/>
      <c r="O39" s="277"/>
      <c r="P39" s="270"/>
    </row>
    <row r="40" spans="1:16" ht="14.25" customHeight="1" x14ac:dyDescent="0.2">
      <c r="A40" s="160" t="s">
        <v>21</v>
      </c>
      <c r="B40" s="161"/>
      <c r="C40" s="170">
        <f>SUM(E26:E37)</f>
        <v>0</v>
      </c>
      <c r="D40" s="170">
        <f>IF(C40&gt;29,30,IF(C40&gt;30,30,C40))</f>
        <v>0</v>
      </c>
      <c r="E40" s="166">
        <f>IF(ISBLANK(E39),(ROUNDUP(D40,2)),(ROUNDUP((D40-E39),0)))</f>
        <v>0</v>
      </c>
      <c r="F40" s="167">
        <f xml:space="preserve"> SUM(F26:G37)</f>
        <v>0</v>
      </c>
      <c r="G40" s="168" t="s">
        <v>67</v>
      </c>
      <c r="H40" s="38" t="str">
        <f>G40</f>
        <v>CP pris</v>
      </c>
      <c r="I40" s="240" t="s">
        <v>37</v>
      </c>
      <c r="J40" s="288">
        <f>IF(AND($A$13="x",$A$14=""),($J$26+$J$27+$J$28+$J$29+$J$30+$J$31+$J$32+$J$33+$J$34+$J$35+$J$36+$J$37+$L$26+$L$27+$L$28+$L$29+$L$30+$L$31+$L$32+$L$33+$L$34+$L$35+$L$36+$L$37),IF(AND($A$13="",$A$14="x"),ROUNDUP($J$38+$M$38,2),""))</f>
        <v>0</v>
      </c>
      <c r="K40" s="241"/>
      <c r="M40" s="250" t="str">
        <f>IF(AND(A13="x",A14=""),($M$26+$M$27+$M$28+$M$29+$M$30+$M$31+$M$32+$M$33+$M$34+$M$35+M36+M37+M38),IF(AND(A13="",A14="x"),"",""))</f>
        <v/>
      </c>
      <c r="N40" s="261"/>
      <c r="O40" s="271" t="str">
        <f>IF(AND(F$41&lt;0,O33="oui"),"Report sur l'année suivante",IF(AND(F$41&lt;0,O33="non"),-valeur_cp_non_pris,""))</f>
        <v/>
      </c>
      <c r="P40" s="270"/>
    </row>
    <row r="41" spans="1:16" ht="14.25" x14ac:dyDescent="0.2">
      <c r="A41" s="223" t="s">
        <v>61</v>
      </c>
      <c r="B41" s="224"/>
      <c r="C41" s="96">
        <v>0</v>
      </c>
      <c r="D41" s="39">
        <v>0</v>
      </c>
      <c r="E41" s="40">
        <f>IF(AND($G$22="oui"),0,IF(IF($E$40=30,30,IF($E$40&gt;30,30,$E$40)),$C$41*$D$41,0))</f>
        <v>0</v>
      </c>
      <c r="F41" s="147">
        <f>E43-F40</f>
        <v>0</v>
      </c>
      <c r="G41" s="145" t="str">
        <f>IF(F41&lt;0,"CP-NON-acquis","Reste à prendre")</f>
        <v>Reste à prendre</v>
      </c>
      <c r="H41" s="19">
        <f>IF(AND($A$13="x",$A$14=""),(((J26+J27+J28+J29+J30+J31+J32+J33+J34+J35+J36+J37)/10)+(J26+J27+J28+J29+J30+J31+J32+J33+J34+J35+J36+J37)),IF(AND($A$13="",$A$14="x"),(J26+J27+J28+J29+J30+J31+J32+J33+J34+J35+J36+J37),""))</f>
        <v>0</v>
      </c>
      <c r="I41" s="240"/>
      <c r="J41" s="288"/>
      <c r="K41" s="241"/>
      <c r="M41" s="251"/>
      <c r="N41" s="281" t="str">
        <f>IF(AND($F$41&lt;0,valeur_cp_non_pris&lt;0,O33="non"),"Remboursement trop perçu à l'employeur (régularisation plus favorable reste due) ","")</f>
        <v/>
      </c>
      <c r="O41" s="271"/>
      <c r="P41" s="270"/>
    </row>
    <row r="42" spans="1:16" ht="14.25" x14ac:dyDescent="0.2">
      <c r="A42" s="162" t="s">
        <v>7</v>
      </c>
      <c r="B42" s="163"/>
      <c r="C42" s="164"/>
      <c r="D42" s="164"/>
      <c r="E42" s="76"/>
      <c r="H42" s="19"/>
      <c r="I42" s="41"/>
      <c r="J42" s="97"/>
      <c r="K42" s="97"/>
      <c r="L42" s="97"/>
      <c r="M42" s="97"/>
      <c r="N42" s="282"/>
      <c r="O42" s="272"/>
      <c r="P42" s="104"/>
    </row>
    <row r="43" spans="1:16" ht="14.25" x14ac:dyDescent="0.2">
      <c r="A43" s="204" t="str">
        <f>IF($J$14="oui","Total jrs ouvrables acquis + report des 3 années ","Total jours ouvrables acquis")</f>
        <v>Total jours ouvrables acquis</v>
      </c>
      <c r="B43" s="205"/>
      <c r="C43" s="205"/>
      <c r="D43" s="206"/>
      <c r="E43" s="169">
        <f>IF($E$40+$E$41&lt;30,($E$40+$E$41),(30))+$E$42+IF(J14="oui",E25,0)</f>
        <v>0</v>
      </c>
      <c r="H43" s="19"/>
      <c r="I43" s="249" t="s">
        <v>62</v>
      </c>
      <c r="J43" s="249"/>
      <c r="K43" s="249"/>
      <c r="L43" s="249"/>
      <c r="M43" s="249"/>
      <c r="N43" s="249"/>
      <c r="O43" s="249"/>
      <c r="P43" s="105"/>
    </row>
    <row r="44" spans="1:16" ht="7.5" customHeight="1" x14ac:dyDescent="0.25">
      <c r="I44" s="1"/>
      <c r="J44" s="5"/>
      <c r="K44" s="1"/>
      <c r="L44" s="1"/>
      <c r="M44" s="1"/>
      <c r="N44" s="1"/>
      <c r="O44" s="1"/>
      <c r="P44" s="101"/>
    </row>
    <row r="45" spans="1:16" ht="5.25" customHeight="1" x14ac:dyDescent="0.25">
      <c r="A45" s="12"/>
      <c r="B45" s="12"/>
      <c r="C45" s="12"/>
      <c r="D45" s="12"/>
      <c r="E45" s="12"/>
      <c r="F45" s="12"/>
      <c r="G45" s="13"/>
      <c r="I45" s="1"/>
      <c r="J45" s="1"/>
      <c r="K45" s="1"/>
      <c r="L45" s="1"/>
      <c r="M45" s="1"/>
      <c r="N45" s="1"/>
      <c r="O45" s="1"/>
      <c r="P45" s="106"/>
    </row>
    <row r="46" spans="1:16" ht="18.75" customHeight="1" x14ac:dyDescent="0.2">
      <c r="A46" s="216" t="s">
        <v>28</v>
      </c>
      <c r="B46" s="217"/>
      <c r="C46" s="217"/>
      <c r="D46" s="217"/>
      <c r="E46" s="217"/>
      <c r="F46" s="217"/>
      <c r="G46" s="218"/>
      <c r="H46" s="19"/>
      <c r="J46" s="42"/>
      <c r="K46" s="155" t="s">
        <v>20</v>
      </c>
      <c r="L46" s="42"/>
      <c r="M46" s="135"/>
      <c r="O46" s="19"/>
    </row>
    <row r="47" spans="1:16" ht="6.75" customHeight="1" x14ac:dyDescent="0.2">
      <c r="A47" s="43"/>
      <c r="B47" s="43"/>
      <c r="C47" s="43"/>
      <c r="D47" s="43"/>
      <c r="E47" s="43"/>
      <c r="F47" s="43"/>
      <c r="G47" s="43"/>
      <c r="H47" s="19"/>
      <c r="I47" s="19"/>
      <c r="J47" s="19"/>
      <c r="K47" s="19"/>
      <c r="L47" s="19"/>
      <c r="M47" s="19"/>
      <c r="N47" s="19"/>
      <c r="O47" s="19"/>
    </row>
    <row r="48" spans="1:16" ht="21" customHeight="1" x14ac:dyDescent="0.2">
      <c r="A48" s="300" t="s">
        <v>35</v>
      </c>
      <c r="B48" s="301"/>
      <c r="C48" s="301"/>
      <c r="D48" s="301"/>
      <c r="E48" s="301"/>
      <c r="F48" s="301"/>
      <c r="G48" s="302"/>
      <c r="H48" s="19"/>
      <c r="I48" s="263" t="s">
        <v>36</v>
      </c>
      <c r="J48" s="264"/>
      <c r="K48" s="264"/>
      <c r="L48" s="264"/>
      <c r="M48" s="264"/>
      <c r="N48" s="264"/>
      <c r="O48" s="265"/>
    </row>
    <row r="49" spans="1:16" ht="18.75" hidden="1" customHeight="1" x14ac:dyDescent="0.2">
      <c r="A49" s="19"/>
      <c r="B49" s="19"/>
      <c r="C49" s="19"/>
      <c r="D49" s="19"/>
      <c r="E49" s="19"/>
      <c r="F49" s="19"/>
      <c r="G49" s="19"/>
      <c r="H49" s="19"/>
      <c r="I49" s="19"/>
      <c r="J49" s="44">
        <f>SUMPRODUCT(J54:J66)</f>
        <v>0</v>
      </c>
      <c r="K49" s="19"/>
      <c r="L49" s="45" t="e">
        <f>(((L54+L55+L56+L57+L58+L59+L60+L61+L62+L63+L64+L65+L66)/10)+(L54+L55+L56+L57+L58+L59+L60+L61+L62+L63+L64+L65+L66))</f>
        <v>#VALUE!</v>
      </c>
      <c r="M49" s="139"/>
      <c r="N49" s="19"/>
      <c r="O49" s="19"/>
    </row>
    <row r="50" spans="1:16" ht="2.25" customHeight="1" x14ac:dyDescent="0.2">
      <c r="A50" s="43"/>
      <c r="B50" s="43"/>
      <c r="C50" s="43"/>
      <c r="D50" s="43"/>
      <c r="E50" s="43"/>
      <c r="F50" s="43"/>
      <c r="G50" s="43"/>
      <c r="H50" s="19"/>
      <c r="I50" s="19"/>
      <c r="J50" s="44"/>
      <c r="K50" s="19"/>
      <c r="L50" s="46"/>
      <c r="M50" s="46"/>
      <c r="N50" s="19"/>
      <c r="O50" s="19"/>
    </row>
    <row r="51" spans="1:16" ht="20.25" customHeight="1" x14ac:dyDescent="0.25">
      <c r="A51" s="246" t="s">
        <v>24</v>
      </c>
      <c r="B51" s="247"/>
      <c r="C51" s="247"/>
      <c r="D51" s="247"/>
      <c r="E51" s="247"/>
      <c r="F51" s="108"/>
      <c r="G51" s="18" t="s">
        <v>2</v>
      </c>
      <c r="H51" s="19"/>
      <c r="I51" s="209" t="s">
        <v>34</v>
      </c>
      <c r="J51" s="210"/>
      <c r="K51" s="210"/>
      <c r="L51" s="211"/>
      <c r="M51" s="136"/>
      <c r="N51" s="289" t="s">
        <v>33</v>
      </c>
      <c r="O51" s="269"/>
      <c r="P51" s="101"/>
    </row>
    <row r="52" spans="1:16" ht="17.25" customHeight="1" x14ac:dyDescent="0.25">
      <c r="A52" s="298" t="s">
        <v>1</v>
      </c>
      <c r="B52" s="298"/>
      <c r="C52" s="298"/>
      <c r="D52" s="298"/>
      <c r="E52" s="298"/>
      <c r="F52" s="219" t="s">
        <v>0</v>
      </c>
      <c r="G52" s="220"/>
      <c r="H52" s="19"/>
      <c r="I52" s="215" t="str">
        <f>IF(AND(A13="x",A14=""),"Salaires BRUT versés /mois Hors Heures comp/supp",IF(AND(A13="",A14="x"),"Salaires BRUT mensualisés",""))</f>
        <v>Salaires BRUT mensualisés</v>
      </c>
      <c r="J52" s="225" t="str">
        <f>IF(AND(A13="x",A14=""),"1ère formule de Calcul (Sur salaire Brut): 11%",IF(AND(A13="",A14="x"),"Dont les congés payés inclus",""))</f>
        <v>Dont les congés payés inclus</v>
      </c>
      <c r="K52" s="225" t="str">
        <f>IF(AND(A13="x",A14=""),"Heures comp/supp-Indiquer le montant du salaire BRUT correspondant uniquement aux Heures complet/ou suppl versées/mois",IF(AND(A13="",A14="x"),"Heures comp/supp-Indiquer le montant du salaire BRUT correspondant uniquement aux Heures complet/ou suppl versées/mois",""))</f>
        <v>Heures comp/supp-Indiquer le montant du salaire BRUT correspondant uniquement aux Heures complet/ou suppl versées/mois</v>
      </c>
      <c r="L52" s="225" t="str">
        <f>IF(AND(A13="x",A14=""),"1ère formule de Calcul (Sur les heures comp/supp): 11%",IF(AND(A13="",A14="x"),"",""))</f>
        <v/>
      </c>
      <c r="M52" s="227" t="str">
        <f>IF(AND(A13="x",A14=""),"Autre formule de calcul",IF(AND(A13="",A14="x"),"Montant Congés à percevoir heures comp ou supp  à 11%",""))</f>
        <v>Montant Congés à percevoir heures comp ou supp  à 11%</v>
      </c>
      <c r="N52" s="266" t="s">
        <v>26</v>
      </c>
      <c r="O52" s="267"/>
      <c r="P52" s="101"/>
    </row>
    <row r="53" spans="1:16" ht="80.25" customHeight="1" x14ac:dyDescent="0.2">
      <c r="A53" s="298"/>
      <c r="B53" s="298"/>
      <c r="C53" s="298"/>
      <c r="D53" s="298"/>
      <c r="E53" s="298"/>
      <c r="F53" s="221"/>
      <c r="G53" s="222"/>
      <c r="H53" s="19"/>
      <c r="I53" s="215"/>
      <c r="J53" s="226"/>
      <c r="K53" s="226"/>
      <c r="L53" s="226"/>
      <c r="M53" s="228"/>
      <c r="N53" s="266"/>
      <c r="O53" s="267"/>
    </row>
    <row r="54" spans="1:16" ht="16.5" customHeight="1" x14ac:dyDescent="0.25">
      <c r="A54" s="303" t="str">
        <f>IF($O$33="OUI","Report année précédente","")</f>
        <v>Report année précédente</v>
      </c>
      <c r="B54" s="304"/>
      <c r="C54" s="304"/>
      <c r="D54" s="157"/>
      <c r="E54" s="47">
        <f>IF($O$33="OUI",$F$41,0)</f>
        <v>0</v>
      </c>
      <c r="F54" s="278"/>
      <c r="G54" s="279"/>
      <c r="H54" s="19"/>
      <c r="I54" s="159"/>
      <c r="J54" s="48"/>
      <c r="K54" s="48"/>
      <c r="L54" s="49"/>
      <c r="M54" s="140"/>
      <c r="N54" s="148" t="s">
        <v>5</v>
      </c>
      <c r="O54" s="110"/>
      <c r="P54" s="101"/>
    </row>
    <row r="55" spans="1:16" ht="15.75" customHeight="1" x14ac:dyDescent="0.2">
      <c r="A55" s="36" t="s">
        <v>19</v>
      </c>
      <c r="B55" s="37"/>
      <c r="C55" s="158" t="str">
        <f>IF(ISBLANK(J46),"janvier",J46)</f>
        <v>janvier</v>
      </c>
      <c r="D55" s="50"/>
      <c r="E55" s="156">
        <v>0</v>
      </c>
      <c r="F55" s="197"/>
      <c r="G55" s="198"/>
      <c r="H55" s="19"/>
      <c r="I55" s="51"/>
      <c r="J55" s="22">
        <f>IF(AND($A$13="x",$A$14=""),$I$55*11/100,IF(AND($A$13="",$A$14="x"),(($I$55/1.1)*11%),""))</f>
        <v>0</v>
      </c>
      <c r="K55" s="180"/>
      <c r="L55" s="52" t="str">
        <f>IF(AND($A$13="x",$A$14=""),$K$55*11/100,"")</f>
        <v/>
      </c>
      <c r="M55" s="141">
        <f>IF(AND($A$13="x",$A$14=""),($I$55+$K$55)/10,IF(AND($A$13="",$A$14="x"),$K$55*11/100,""))</f>
        <v>0</v>
      </c>
      <c r="N55" s="149" t="s">
        <v>6</v>
      </c>
      <c r="O55" s="25">
        <f>ROUNDUP(O54/26,2)</f>
        <v>0</v>
      </c>
    </row>
    <row r="56" spans="1:16" ht="14.25" customHeight="1" x14ac:dyDescent="0.2">
      <c r="A56" s="20" t="s">
        <v>18</v>
      </c>
      <c r="B56" s="21"/>
      <c r="C56" s="83" t="str">
        <f>IF(ISBLANK(J46),"février",(EDATE(C55,1)))</f>
        <v>février</v>
      </c>
      <c r="D56" s="50"/>
      <c r="E56" s="86">
        <v>0</v>
      </c>
      <c r="F56" s="197"/>
      <c r="G56" s="198"/>
      <c r="H56" s="19"/>
      <c r="I56" s="51"/>
      <c r="J56" s="22">
        <f>IF(AND($A$13="x",$A$14=""),$I$56*11/100,IF(AND($A$13="",$A$14="x"),(($I$56/1.1)*11%),""))</f>
        <v>0</v>
      </c>
      <c r="K56" s="180"/>
      <c r="L56" s="52" t="str">
        <f>IF(AND($A$13="x",$A$14=""),$K$56*11/100,"")</f>
        <v/>
      </c>
      <c r="M56" s="141">
        <f>IF(AND($A$13="x",$A$14=""),($I$56+$K$56)/10,IF(AND($A$13="",$A$14="x"),$K$56*11/100,""))</f>
        <v>0</v>
      </c>
      <c r="N56" s="150" t="s">
        <v>41</v>
      </c>
      <c r="O56" s="113">
        <f>F70*O55</f>
        <v>0</v>
      </c>
      <c r="P56" s="98">
        <f>IF(AND(valeur_cp_non_prisb&lt;0,O62="oui"),-valeur_cp_non_prisb,0)</f>
        <v>0</v>
      </c>
    </row>
    <row r="57" spans="1:16" ht="15.75" x14ac:dyDescent="0.25">
      <c r="A57" s="20" t="s">
        <v>17</v>
      </c>
      <c r="B57" s="21"/>
      <c r="C57" s="83" t="str">
        <f>IF(ISBLANK(J46),"mars",(EDATE(C56,1)))</f>
        <v>mars</v>
      </c>
      <c r="D57" s="50"/>
      <c r="E57" s="86">
        <v>0</v>
      </c>
      <c r="F57" s="197"/>
      <c r="G57" s="198"/>
      <c r="H57" s="19"/>
      <c r="I57" s="51"/>
      <c r="J57" s="22">
        <f>IF(AND($A$13="x",$A$14=""),$I$57*11/100,IF(AND($A$13="",$A$14="x"),(($I$57/1.1)*11%),""))</f>
        <v>0</v>
      </c>
      <c r="K57" s="180"/>
      <c r="L57" s="52" t="str">
        <f>IF(AND($A$13="x",$A$14=""),$K$57*11/100,"")</f>
        <v/>
      </c>
      <c r="M57" s="141">
        <f>IF(AND($A$13="x",$A$14=""),($I$57+$K$57)/10,IF(AND($A$13="",$A$14="x"),$K$57*11/100,""))</f>
        <v>0</v>
      </c>
      <c r="N57" s="151" t="s">
        <v>63</v>
      </c>
      <c r="O57" s="115">
        <f>(E72-E54)*O55</f>
        <v>0</v>
      </c>
    </row>
    <row r="58" spans="1:16" ht="14.25" x14ac:dyDescent="0.2">
      <c r="A58" s="20" t="s">
        <v>16</v>
      </c>
      <c r="B58" s="21"/>
      <c r="C58" s="83" t="str">
        <f>IF(ISBLANK(J46),"avril",(EDATE(C57,1)))</f>
        <v>avril</v>
      </c>
      <c r="D58" s="50"/>
      <c r="E58" s="86">
        <v>0</v>
      </c>
      <c r="F58" s="197"/>
      <c r="G58" s="198"/>
      <c r="H58" s="19"/>
      <c r="I58" s="51"/>
      <c r="J58" s="22">
        <f>IF(AND($A$13="x",$A$14=""),$I$58*11/100,IF(AND($A$13="",$A$14="x"),(($I$58/1.1)*11%),""))</f>
        <v>0</v>
      </c>
      <c r="K58" s="180"/>
      <c r="L58" s="52" t="str">
        <f>IF(AND($A$13="x",$A$14=""),$K$58*11/100,"")</f>
        <v/>
      </c>
      <c r="M58" s="141">
        <f>IF(AND($A$13="x",$A$14=""),($I$58+$K$58)/10,IF(AND($A$13="",$A$14="x"),$K$58*11/100,""))</f>
        <v>0</v>
      </c>
      <c r="N58" s="152" t="s">
        <v>40</v>
      </c>
      <c r="O58" s="26">
        <f>F69*O55</f>
        <v>0</v>
      </c>
    </row>
    <row r="59" spans="1:16" ht="14.25" x14ac:dyDescent="0.2">
      <c r="A59" s="20" t="s">
        <v>15</v>
      </c>
      <c r="B59" s="21"/>
      <c r="C59" s="83" t="str">
        <f>IF(ISBLANK(J46),"mai",(EDATE(C58,1)))</f>
        <v>mai</v>
      </c>
      <c r="D59" s="50"/>
      <c r="E59" s="86">
        <v>0</v>
      </c>
      <c r="F59" s="197"/>
      <c r="G59" s="198"/>
      <c r="H59" s="19"/>
      <c r="I59" s="51"/>
      <c r="J59" s="22">
        <f>IF(AND($A$13="x",$A$14=""),$I$59*11/100,IF(AND($A$13="",$A$14="x"),(($I$59/1.1)*11%),""))</f>
        <v>0</v>
      </c>
      <c r="K59" s="180"/>
      <c r="L59" s="52" t="str">
        <f>IF(AND($A$13="x",$A$14=""),$K$59*11/100,"")</f>
        <v/>
      </c>
      <c r="M59" s="141">
        <f>IF(AND($A$13="x",$A$14=""),($I$59+$K$59)/10,IF(AND($A$13="",$A$14="x"),$K$59*11/100,""))</f>
        <v>0</v>
      </c>
      <c r="N59" s="275"/>
      <c r="O59" s="276"/>
    </row>
    <row r="60" spans="1:16" ht="14.25" x14ac:dyDescent="0.2">
      <c r="A60" s="20" t="s">
        <v>14</v>
      </c>
      <c r="B60" s="21"/>
      <c r="C60" s="83" t="str">
        <f>IF(ISBLANK(J46),"juin",(EDATE(C59,1)))</f>
        <v>juin</v>
      </c>
      <c r="D60" s="50"/>
      <c r="E60" s="86">
        <v>0</v>
      </c>
      <c r="F60" s="197"/>
      <c r="G60" s="198"/>
      <c r="H60" s="19"/>
      <c r="I60" s="51"/>
      <c r="J60" s="22">
        <f>IF(AND($A$13="x",$A$14=""),$I$60*11/100,IF(AND($A$13="",$A$14="x"),(($I$60/1.1)*11%),""))</f>
        <v>0</v>
      </c>
      <c r="K60" s="180"/>
      <c r="L60" s="52" t="str">
        <f>IF(AND($A$13="x",$A$14=""),$K$60*11/100,"")</f>
        <v/>
      </c>
      <c r="M60" s="141">
        <f>IF(AND($A$13="x",$A$14=""),($I$60+$K$60)/10,IF(AND($A$13="",$A$14="x"),$K$60*11/100,""))</f>
        <v>0</v>
      </c>
      <c r="N60" s="153" t="s">
        <v>65</v>
      </c>
      <c r="O60" s="117">
        <f>IF(P60&lt;=0,0,(total_cp_acquisb-valeur_cp_prisb)+(valeur_cp_prisb-O61))</f>
        <v>0</v>
      </c>
      <c r="P60" s="102">
        <f>(total_cp_acquisb-valeur_cp_prisb)+(valeur_cp_prisb-total_cp_10_centb)</f>
        <v>0</v>
      </c>
    </row>
    <row r="61" spans="1:16" ht="14.25" x14ac:dyDescent="0.2">
      <c r="A61" s="20" t="s">
        <v>13</v>
      </c>
      <c r="B61" s="21"/>
      <c r="C61" s="83" t="str">
        <f>IF(ISBLANK(J46),"juillet",(EDATE(C60,1)))</f>
        <v>juillet</v>
      </c>
      <c r="D61" s="50"/>
      <c r="E61" s="86">
        <v>0</v>
      </c>
      <c r="F61" s="197"/>
      <c r="G61" s="198"/>
      <c r="H61" s="19"/>
      <c r="I61" s="51"/>
      <c r="J61" s="22">
        <f>IF(AND($A$13="x",$A$14=""),$I$61*11/100,IF(AND($A$13="",$A$14="x"),(($I$61/1.1)*11%),""))</f>
        <v>0</v>
      </c>
      <c r="K61" s="180"/>
      <c r="L61" s="52" t="str">
        <f>IF(AND($A$13="x",$A$14=""),$K$61*11/100,"")</f>
        <v/>
      </c>
      <c r="M61" s="141">
        <f>IF(AND($A$13="x",$A$14=""),($I$61+$K$61)/10,IF(AND($A$13="",$A$14="x"),$K$61*11/100,""))</f>
        <v>0</v>
      </c>
      <c r="N61" s="154" t="s">
        <v>64</v>
      </c>
      <c r="O61" s="118">
        <f>IF(total_cp_10_centb&gt;K68,total_cp_10_centb,K68)</f>
        <v>0</v>
      </c>
    </row>
    <row r="62" spans="1:16" ht="15.75" x14ac:dyDescent="0.2">
      <c r="A62" s="20" t="s">
        <v>12</v>
      </c>
      <c r="B62" s="21"/>
      <c r="C62" s="83" t="str">
        <f>IF(ISBLANK(J46),"aout",(EDATE(C61,1)))</f>
        <v>aout</v>
      </c>
      <c r="D62" s="50"/>
      <c r="E62" s="86">
        <v>0</v>
      </c>
      <c r="F62" s="197"/>
      <c r="G62" s="198"/>
      <c r="H62" s="19"/>
      <c r="I62" s="51"/>
      <c r="J62" s="22">
        <f>IF(AND($A$13="x",$A$14=""),$I$62*11/100,IF(AND($A$13="",$A$14="x"),(($I$62/1.1)*11%),""))</f>
        <v>0</v>
      </c>
      <c r="K62" s="180"/>
      <c r="L62" s="52" t="str">
        <f>IF(AND($A$13="x",$A$14=""),$K$62*11/100,"")</f>
        <v/>
      </c>
      <c r="M62" s="141">
        <f>IF(AND($A$13="x",$A$14=""),($I$62+$K$62)/10,IF(AND($A$13="",$A$14="x"),$K$62*11/100,""))</f>
        <v>0</v>
      </c>
      <c r="N62" s="27" t="s">
        <v>45</v>
      </c>
      <c r="O62" s="28" t="s">
        <v>2</v>
      </c>
    </row>
    <row r="63" spans="1:16" ht="14.25" x14ac:dyDescent="0.2">
      <c r="A63" s="20" t="s">
        <v>11</v>
      </c>
      <c r="B63" s="21"/>
      <c r="C63" s="83" t="str">
        <f>IF(ISBLANK(J46),"septembre",(EDATE(C62,1)))</f>
        <v>septembre</v>
      </c>
      <c r="D63" s="50"/>
      <c r="E63" s="86">
        <v>0</v>
      </c>
      <c r="F63" s="197"/>
      <c r="G63" s="198"/>
      <c r="H63" s="19"/>
      <c r="I63" s="51"/>
      <c r="J63" s="22">
        <f>IF(AND($A$13="x",$A$14=""),$I$63*11/100,IF(AND($A$13="",$A$14="x"),(($I$63/1.1)*11%),""))</f>
        <v>0</v>
      </c>
      <c r="K63" s="180"/>
      <c r="L63" s="52" t="str">
        <f>IF(AND($A$13="x",$A$14=""),$K$63*11/100,"")</f>
        <v/>
      </c>
      <c r="M63" s="141">
        <f>IF(AND($A$13="x",$A$14=""),($I$63+$K$63)/10,IF(AND($A$13="",$A$14="x"),$K$63*11/100,""))</f>
        <v>0</v>
      </c>
      <c r="N63" s="29"/>
      <c r="O63" s="19"/>
      <c r="P63" s="103"/>
    </row>
    <row r="64" spans="1:16" ht="15" x14ac:dyDescent="0.25">
      <c r="A64" s="20" t="s">
        <v>8</v>
      </c>
      <c r="B64" s="21"/>
      <c r="C64" s="83" t="str">
        <f>IF(ISBLANK(J46),"octobre",(EDATE(C63,1)))</f>
        <v>octobre</v>
      </c>
      <c r="D64" s="50"/>
      <c r="E64" s="86">
        <v>0</v>
      </c>
      <c r="F64" s="197"/>
      <c r="G64" s="198"/>
      <c r="H64" s="19"/>
      <c r="I64" s="51"/>
      <c r="J64" s="22">
        <f>IF(AND($A$13="x",$A$14=""),$I$64*11/100,IF(AND($A$13="",$A$14="x"),(($I$64/1.1)*11%),""))</f>
        <v>0</v>
      </c>
      <c r="K64" s="180"/>
      <c r="L64" s="52" t="str">
        <f>IF(AND($A$13="x",$A$14=""),$K$64*11/100,"")</f>
        <v/>
      </c>
      <c r="M64" s="141">
        <f>IF(AND($A$13="x",$A$14=""),($I$64+$K$64)/10,IF(AND($A$13="",$A$14="x"),$K$64*11/100,""))</f>
        <v>0</v>
      </c>
      <c r="N64" s="280" t="s">
        <v>43</v>
      </c>
      <c r="O64" s="214"/>
      <c r="P64" s="101"/>
    </row>
    <row r="65" spans="1:16" ht="14.25" x14ac:dyDescent="0.2">
      <c r="A65" s="20" t="s">
        <v>9</v>
      </c>
      <c r="B65" s="21"/>
      <c r="C65" s="83" t="str">
        <f>IF(ISBLANK(J46),"novembre",(EDATE(C64,1)))</f>
        <v>novembre</v>
      </c>
      <c r="D65" s="50"/>
      <c r="E65" s="86">
        <v>0</v>
      </c>
      <c r="F65" s="197"/>
      <c r="G65" s="198"/>
      <c r="H65" s="19"/>
      <c r="I65" s="51"/>
      <c r="J65" s="22">
        <f>IF(AND($A$13="x",$A$14=""),$I$65*11/100,IF(AND($A$13="",$A$14="x"),(($I$65/1.1)*11%),""))</f>
        <v>0</v>
      </c>
      <c r="K65" s="180"/>
      <c r="L65" s="52" t="str">
        <f>IF(AND($A$13="x",$A$14=""),$K$65*11/100,"")</f>
        <v/>
      </c>
      <c r="M65" s="141">
        <f>IF(AND($A$13="x",$A$14=""),($I$65+$K$65)/10,IF(AND($A$13="",$A$14="x"),$K$65*11/100,""))</f>
        <v>0</v>
      </c>
      <c r="N65" s="280" t="s">
        <v>44</v>
      </c>
      <c r="O65" s="214"/>
    </row>
    <row r="66" spans="1:16" ht="14.25" customHeight="1" x14ac:dyDescent="0.2">
      <c r="A66" s="30" t="s">
        <v>10</v>
      </c>
      <c r="B66" s="31"/>
      <c r="C66" s="83" t="str">
        <f>IF(ISBLANK(J46),"décembre",(EDATE(C65,1)))</f>
        <v>décembre</v>
      </c>
      <c r="D66" s="80"/>
      <c r="E66" s="87">
        <v>0</v>
      </c>
      <c r="F66" s="197"/>
      <c r="G66" s="198"/>
      <c r="H66" s="19"/>
      <c r="I66" s="54"/>
      <c r="J66" s="32">
        <f>IF(AND($A$13="x",$A$14=""),$I$66*11/100,IF(AND($A$13="",$A$14="x"),(($I$66/1.1)*11%),""))</f>
        <v>0</v>
      </c>
      <c r="K66" s="182"/>
      <c r="L66" s="55" t="str">
        <f>IF(AND($A$13="x",$A$14=""),$K$66*11/100,"")</f>
        <v/>
      </c>
      <c r="M66" s="141">
        <f>IF(AND($A$13="x",$A$14=""),($I$66+$K$66)/10,IF(AND($A$13="",$A$14="x"),$K$66*11/100,""))</f>
        <v>0</v>
      </c>
      <c r="N66" s="261" t="s">
        <v>66</v>
      </c>
      <c r="O66" s="277">
        <f>IF(AND(O62="oui",valeur_cp_non_prisb&gt;0),O60,IF(AND(O62="non",valeur_cp_non_prisb&lt;0),O60,valeur_cp_non_prisb+O60))+IF(AND(valeur_cp_non_prisb&lt;0,O62="oui"),O60,0)</f>
        <v>0</v>
      </c>
      <c r="P66" s="270"/>
    </row>
    <row r="67" spans="1:16" ht="15" customHeight="1" x14ac:dyDescent="0.2">
      <c r="A67" s="252" t="str">
        <f>IF(AND($A$13="x",$A$14=""),"Régularisation Congés payés fin d'année de référence  (Autre formule 10% sur CP)",IF(AND($A$13="",$A$14="x"),"Total des Cp inclus + total CP Hrs comp/sup (cellule I)",""))</f>
        <v>Total des Cp inclus + total CP Hrs comp/sup (cellule I)</v>
      </c>
      <c r="B67" s="253"/>
      <c r="C67" s="253"/>
      <c r="D67" s="253"/>
      <c r="E67" s="253"/>
      <c r="F67" s="253"/>
      <c r="G67" s="253"/>
      <c r="H67" s="253"/>
      <c r="I67" s="253"/>
      <c r="J67" s="73">
        <f>IF(AND($A$13="x",$A$14=""),"",IF(AND($A$13="",$A$14="x"),($J$55+$J$56+$J$57+$J$58+$J$59+$J$60+$J$61+$J$62+$J$63+$J$64+$J$65+$J$66),""))</f>
        <v>0</v>
      </c>
      <c r="K67" s="56" t="str">
        <f>IF(AND($A$13="x",$A$14=""),"",IF(AND($A$13="",$A$14="x"),"Total CP= Hrs Comp/Supp",""))</f>
        <v>Total CP= Hrs Comp/Supp</v>
      </c>
      <c r="L67" s="56"/>
      <c r="M67" s="75">
        <f>IF(AND($A$13="x",$A$14=""),($M$55+$M$56+$M$57+$M$58+$M$59+$M$60+$M$61+$M$62+$M$63+$M$64+$M$65+$M$66)/10,IF(AND($A$13="",$A$14="x"),$M$55+$M$56+$M$57+$M$58+$M$59+$M$60+$M$61+$M$62+$M$63+$M$64+$M$65+$M$66,""))</f>
        <v>0</v>
      </c>
      <c r="N67" s="261"/>
      <c r="O67" s="277"/>
      <c r="P67" s="270"/>
    </row>
    <row r="68" spans="1:16" ht="15" customHeight="1" x14ac:dyDescent="0.2">
      <c r="A68" s="257" t="s">
        <v>83</v>
      </c>
      <c r="B68" s="258"/>
      <c r="C68" s="258"/>
      <c r="D68" s="259"/>
      <c r="E68" s="165">
        <f>'Explication déduction CP'!E29+'Explication déduction CP'!E52</f>
        <v>0</v>
      </c>
      <c r="G68" s="122"/>
      <c r="H68" s="122"/>
      <c r="I68" s="123"/>
      <c r="J68" s="124"/>
      <c r="K68" s="122"/>
      <c r="L68" s="125"/>
      <c r="M68" s="125"/>
      <c r="N68" s="261"/>
      <c r="O68" s="271" t="str">
        <f>IF(AND($F$70&lt;0,O62="oui"),"Report sur l'année suivante",IF(AND($F$70&lt;0,O62="non"),-valeur_cp_non_prisb,""))</f>
        <v/>
      </c>
      <c r="P68" s="270"/>
    </row>
    <row r="69" spans="1:16" ht="14.25" x14ac:dyDescent="0.2">
      <c r="A69" s="160" t="s">
        <v>21</v>
      </c>
      <c r="B69" s="161"/>
      <c r="C69" s="170">
        <f>SUM(E55:E66)</f>
        <v>0</v>
      </c>
      <c r="D69" s="170">
        <f>IF(C69&gt;29,30,IF(C69&gt;30,30,C69))</f>
        <v>0</v>
      </c>
      <c r="E69" s="166">
        <f>IF(ISBLANK(E68),(ROUNDUP(D69,2)),(ROUNDUP((D69-E68),0)))</f>
        <v>0</v>
      </c>
      <c r="F69" s="167">
        <f xml:space="preserve"> SUM(F55:G66)</f>
        <v>0</v>
      </c>
      <c r="G69" s="168" t="s">
        <v>67</v>
      </c>
      <c r="H69" s="57">
        <f>F69</f>
        <v>0</v>
      </c>
      <c r="I69" s="239" t="s">
        <v>37</v>
      </c>
      <c r="J69" s="287">
        <f>IF(AND($A$13="x",$A$14=""),($J$55+$J$56+$J$57+$J$58+$J$59+$J$60+$J$61+$J$62+$J$63+$J$64+$J$65+$J$66+$L$55+$L$56+$L$57+$L$58+$L$59+$L$60+$L$61+$L$62+$L$63+$L$64+$L$65+$L$66),IF(AND($A$13="",$A$14="x"),ROUNDUP($J$67+$M$67,2),""))</f>
        <v>0</v>
      </c>
      <c r="K69" s="241">
        <f>IF(AND($A$13="x",$A$14=""),($J$26+$J$27+$J$28+$J$29+$J$30+$J$31+$J$32+$J$33+$J$34+$J$35+$J$36+$J$37),IF(AND($A$13="",$A$14="x"),ROUNDUP($J$38+$M$38,2),""))</f>
        <v>0</v>
      </c>
      <c r="M69" s="242" t="str">
        <f>IF(AND($A$13="x",$A$14=""),$M$55+$M$56+$M$57+$M$58+$M$59+$M$60+$M$61+$M$62+$M$63+$M$64+$M$65+$M$66+$M$67,IF(AND($A$13="",$A$14="x"),"",""))</f>
        <v/>
      </c>
      <c r="N69" s="273" t="str">
        <f>IF(AND($F$70&lt;0,valeur_cp_non_prisb&lt;0,$O$62="non"),"Remboursement trop perçu à l'employeur (régularisation plus favorable reste due) ","")</f>
        <v/>
      </c>
      <c r="O69" s="271"/>
      <c r="P69" s="270"/>
    </row>
    <row r="70" spans="1:16" ht="14.25" x14ac:dyDescent="0.2">
      <c r="A70" s="171"/>
      <c r="B70" s="172"/>
      <c r="C70" s="173"/>
      <c r="D70" s="173"/>
      <c r="E70" s="174"/>
      <c r="F70" s="183">
        <f>E72-F69</f>
        <v>0</v>
      </c>
      <c r="G70" s="145" t="str">
        <f>IF(F70&lt;0,"CP-NON-acquis","Reste à prendre")</f>
        <v>Reste à prendre</v>
      </c>
      <c r="H70" s="133">
        <f>E72-F69</f>
        <v>0</v>
      </c>
      <c r="I70" s="240"/>
      <c r="J70" s="288"/>
      <c r="K70" s="241"/>
      <c r="M70" s="242"/>
      <c r="N70" s="274"/>
      <c r="O70" s="272"/>
      <c r="P70" s="104"/>
    </row>
    <row r="71" spans="1:16" ht="14.25" x14ac:dyDescent="0.2">
      <c r="A71" s="162" t="s">
        <v>7</v>
      </c>
      <c r="B71" s="163"/>
      <c r="C71" s="164"/>
      <c r="D71" s="164"/>
      <c r="E71" s="76"/>
      <c r="H71" s="19"/>
      <c r="I71" s="41"/>
      <c r="P71" s="107"/>
    </row>
    <row r="72" spans="1:16" ht="15" x14ac:dyDescent="0.25">
      <c r="A72" s="237" t="s">
        <v>22</v>
      </c>
      <c r="B72" s="238"/>
      <c r="C72" s="238"/>
      <c r="D72" s="175"/>
      <c r="E72" s="169">
        <f>IF($E$69&gt;30,30,IF($E$69+$E$71&gt;32,32,$E$69+$E$71))+$E$54</f>
        <v>0</v>
      </c>
      <c r="H72" s="19"/>
      <c r="I72" s="53"/>
      <c r="J72" s="58"/>
      <c r="K72" s="53"/>
      <c r="L72" s="53"/>
      <c r="M72" s="53"/>
      <c r="N72" s="121"/>
      <c r="O72" s="121"/>
      <c r="P72" s="101"/>
    </row>
    <row r="73" spans="1:16" ht="10.5" customHeight="1" x14ac:dyDescent="0.25">
      <c r="H73" s="19"/>
      <c r="I73" s="97" t="s">
        <v>68</v>
      </c>
      <c r="J73" s="97"/>
      <c r="K73" s="97"/>
      <c r="L73" s="97"/>
      <c r="M73" s="97"/>
      <c r="N73" s="97"/>
      <c r="O73" s="19"/>
      <c r="P73" s="101"/>
    </row>
    <row r="74" spans="1:16" ht="3.75" customHeight="1" x14ac:dyDescent="0.25">
      <c r="A74" s="59"/>
      <c r="B74" s="59"/>
      <c r="C74" s="59"/>
      <c r="D74" s="59"/>
      <c r="E74" s="59"/>
      <c r="F74" s="59"/>
      <c r="G74" s="60"/>
      <c r="H74" s="19"/>
      <c r="I74" s="53"/>
      <c r="J74" s="53"/>
      <c r="K74" s="53"/>
      <c r="L74" s="53"/>
      <c r="M74" s="53"/>
      <c r="N74" s="53"/>
      <c r="O74" s="53"/>
      <c r="P74" s="106"/>
    </row>
    <row r="75" spans="1:16" ht="18" customHeight="1" x14ac:dyDescent="0.2">
      <c r="A75" s="216" t="s">
        <v>27</v>
      </c>
      <c r="B75" s="217"/>
      <c r="C75" s="217"/>
      <c r="D75" s="217"/>
      <c r="E75" s="217"/>
      <c r="F75" s="217"/>
      <c r="G75" s="218"/>
      <c r="H75" s="19"/>
      <c r="J75" s="88"/>
      <c r="K75" s="155" t="s">
        <v>20</v>
      </c>
      <c r="L75" s="42"/>
      <c r="M75" s="135"/>
      <c r="O75" s="19"/>
    </row>
    <row r="76" spans="1:16" ht="3" customHeight="1" x14ac:dyDescent="0.2">
      <c r="A76" s="61"/>
      <c r="B76" s="62"/>
      <c r="C76" s="62"/>
      <c r="D76" s="62"/>
      <c r="E76" s="62"/>
      <c r="F76" s="62"/>
      <c r="G76" s="62"/>
      <c r="H76" s="62"/>
      <c r="I76" s="63"/>
      <c r="J76" s="19"/>
      <c r="K76" s="19"/>
      <c r="L76" s="19"/>
      <c r="M76" s="19"/>
      <c r="N76" s="19"/>
      <c r="O76" s="19"/>
    </row>
    <row r="77" spans="1:16" ht="18.75" customHeight="1" x14ac:dyDescent="0.25">
      <c r="A77" s="232" t="s">
        <v>35</v>
      </c>
      <c r="B77" s="233"/>
      <c r="C77" s="233"/>
      <c r="D77" s="233"/>
      <c r="E77" s="233"/>
      <c r="F77" s="233"/>
      <c r="G77" s="234"/>
      <c r="H77" s="19"/>
      <c r="I77" s="263" t="s">
        <v>36</v>
      </c>
      <c r="J77" s="264"/>
      <c r="K77" s="264"/>
      <c r="L77" s="264"/>
      <c r="M77" s="264"/>
      <c r="N77" s="264"/>
      <c r="O77" s="265"/>
      <c r="P77" s="101"/>
    </row>
    <row r="78" spans="1:16" ht="18" hidden="1" customHeight="1" x14ac:dyDescent="0.25">
      <c r="A78" s="19"/>
      <c r="B78" s="19"/>
      <c r="C78" s="19"/>
      <c r="D78" s="19"/>
      <c r="E78" s="19"/>
      <c r="F78" s="19"/>
      <c r="G78" s="19"/>
      <c r="H78" s="19"/>
      <c r="I78" s="19"/>
      <c r="J78" s="44">
        <f>SUMPRODUCT(J83:J95)</f>
        <v>0</v>
      </c>
      <c r="K78" s="19"/>
      <c r="L78" s="64" t="e">
        <f>(((L83+L84+L85+L86+L87+L88+L89+L90+L91+L92+L93+L94+L95)/10)+(L83+L84+L85+L86+L87+L88+L89+L90+L91+L92+L93+L94+L95))</f>
        <v>#VALUE!</v>
      </c>
      <c r="M78" s="142"/>
      <c r="N78" s="19"/>
      <c r="O78" s="19"/>
      <c r="P78" s="101"/>
    </row>
    <row r="79" spans="1:16" ht="2.25" customHeight="1" x14ac:dyDescent="0.25">
      <c r="A79" s="43"/>
      <c r="B79" s="43"/>
      <c r="C79" s="43"/>
      <c r="D79" s="43"/>
      <c r="E79" s="43"/>
      <c r="F79" s="43"/>
      <c r="G79" s="43"/>
      <c r="H79" s="19"/>
      <c r="I79" s="19"/>
      <c r="J79" s="44"/>
      <c r="K79" s="19"/>
      <c r="L79" s="65"/>
      <c r="M79" s="65"/>
      <c r="N79" s="19"/>
      <c r="O79" s="19"/>
      <c r="P79" s="101"/>
    </row>
    <row r="80" spans="1:16" ht="18.75" customHeight="1" x14ac:dyDescent="0.25">
      <c r="A80" s="246" t="s">
        <v>24</v>
      </c>
      <c r="B80" s="247"/>
      <c r="C80" s="247"/>
      <c r="D80" s="247"/>
      <c r="E80" s="247"/>
      <c r="F80" s="108"/>
      <c r="G80" s="18" t="s">
        <v>2</v>
      </c>
      <c r="H80" s="19"/>
      <c r="I80" s="209" t="s">
        <v>34</v>
      </c>
      <c r="J80" s="210"/>
      <c r="K80" s="210"/>
      <c r="L80" s="211"/>
      <c r="M80" s="136"/>
      <c r="N80" s="289" t="s">
        <v>33</v>
      </c>
      <c r="O80" s="269"/>
      <c r="P80" s="101"/>
    </row>
    <row r="81" spans="1:16" ht="15" customHeight="1" x14ac:dyDescent="0.2">
      <c r="A81" s="298" t="s">
        <v>1</v>
      </c>
      <c r="B81" s="298"/>
      <c r="C81" s="298"/>
      <c r="D81" s="298"/>
      <c r="E81" s="298"/>
      <c r="F81" s="219" t="s">
        <v>0</v>
      </c>
      <c r="G81" s="220"/>
      <c r="H81" s="19"/>
      <c r="I81" s="215" t="str">
        <f>IF(AND(A13="x",A14=""),"Salaires BRUT versés /mois Hors Heures comp/supp",IF(AND(A13="",A14="x"),"Salaires BRUT mensualisés",""))</f>
        <v>Salaires BRUT mensualisés</v>
      </c>
      <c r="J81" s="225" t="str">
        <f>IF(AND(A13="x",A14=""),"1ère formule de Calcul (Sur salaire Brut): 11%",IF(AND(A13="",A14="x"),"Dont les congés payés inclus",""))</f>
        <v>Dont les congés payés inclus</v>
      </c>
      <c r="K81" s="225" t="str">
        <f>IF(AND(A13="x",A14=""),"Heures comp/supp-Indiquer le montant du salaire BRUT correspondant uniquement aux Heures complet/ou suppl versées/mois",IF(AND(A13="",A14="x"),"Heures comp/supp-Indiquer le montant du salaire BRUT correspondant uniquement aux Heures complet/ou suppl versées/mois",""))</f>
        <v>Heures comp/supp-Indiquer le montant du salaire BRUT correspondant uniquement aux Heures complet/ou suppl versées/mois</v>
      </c>
      <c r="L81" s="225" t="str">
        <f>IF(AND(A13="x",A14=""),"1ère formule de Calcul (Sur les heures comp/supp): 11%",IF(AND(A13="",A14="x"),"",""))</f>
        <v/>
      </c>
      <c r="M81" s="227" t="str">
        <f>IF(AND(A13="x",A14=""),"Autre formule de calcul",IF(AND(A13="",A14="x"),"Montant Congés à percevoir heures comp ou supp  à 11%",""))</f>
        <v>Montant Congés à percevoir heures comp ou supp  à 11%</v>
      </c>
      <c r="N81" s="283" t="s">
        <v>25</v>
      </c>
      <c r="O81" s="284"/>
    </row>
    <row r="82" spans="1:16" ht="82.5" customHeight="1" x14ac:dyDescent="0.2">
      <c r="A82" s="298"/>
      <c r="B82" s="298"/>
      <c r="C82" s="298"/>
      <c r="D82" s="298"/>
      <c r="E82" s="298"/>
      <c r="F82" s="221"/>
      <c r="G82" s="222"/>
      <c r="H82" s="19"/>
      <c r="I82" s="215"/>
      <c r="J82" s="226"/>
      <c r="K82" s="226"/>
      <c r="L82" s="226"/>
      <c r="M82" s="228"/>
      <c r="N82" s="285"/>
      <c r="O82" s="286"/>
    </row>
    <row r="83" spans="1:16" ht="15.75" customHeight="1" x14ac:dyDescent="0.25">
      <c r="A83" s="303" t="str">
        <f>IF($O$62="oui","Report année précédente","")</f>
        <v>Report année précédente</v>
      </c>
      <c r="B83" s="304"/>
      <c r="C83" s="304"/>
      <c r="D83" s="157"/>
      <c r="E83" s="66">
        <f>IF($O$62="oui",$F$70,0)</f>
        <v>0</v>
      </c>
      <c r="F83" s="278"/>
      <c r="G83" s="279"/>
      <c r="H83" s="19"/>
      <c r="I83" s="159"/>
      <c r="J83" s="67"/>
      <c r="K83" s="48"/>
      <c r="L83" s="68"/>
      <c r="M83" s="143"/>
      <c r="N83" s="148" t="s">
        <v>5</v>
      </c>
      <c r="O83" s="110"/>
      <c r="P83" s="101"/>
    </row>
    <row r="84" spans="1:16" ht="14.25" customHeight="1" x14ac:dyDescent="0.2">
      <c r="A84" s="36" t="s">
        <v>19</v>
      </c>
      <c r="B84" s="37"/>
      <c r="C84" s="158" t="str">
        <f>IF(ISBLANK(J75),"janvier",J75)</f>
        <v>janvier</v>
      </c>
      <c r="D84" s="81"/>
      <c r="E84" s="156">
        <v>0</v>
      </c>
      <c r="F84" s="197"/>
      <c r="G84" s="198"/>
      <c r="H84" s="19"/>
      <c r="I84" s="51"/>
      <c r="J84" s="22">
        <f>IF(AND($A$13="x",$A$14=""),$I$84*11/100,IF(AND($A$13="",$A$14="x"),(($I$84/1.1)*11%),""))</f>
        <v>0</v>
      </c>
      <c r="K84" s="180"/>
      <c r="L84" s="52" t="str">
        <f>IF(AND($A$13="x",$A$14=""),$K$84*11/100,"")</f>
        <v/>
      </c>
      <c r="M84" s="141">
        <f>IF(AND($A$13="x",$A$14=""),($I$84+$K$84)/10,IF(AND($A$13="",$A$14="x"),$K$84*11/100,""))</f>
        <v>0</v>
      </c>
      <c r="N84" s="149" t="s">
        <v>6</v>
      </c>
      <c r="O84" s="25">
        <f>ROUNDUP(O83/26,2)</f>
        <v>0</v>
      </c>
    </row>
    <row r="85" spans="1:16" ht="14.25" customHeight="1" x14ac:dyDescent="0.2">
      <c r="A85" s="20" t="s">
        <v>18</v>
      </c>
      <c r="B85" s="21"/>
      <c r="C85" s="83" t="str">
        <f>IF(ISBLANK(J75),"février",(EDATE(C84,1)))</f>
        <v>février</v>
      </c>
      <c r="D85" s="81"/>
      <c r="E85" s="86">
        <v>0</v>
      </c>
      <c r="F85" s="197"/>
      <c r="G85" s="198"/>
      <c r="H85" s="19"/>
      <c r="I85" s="51"/>
      <c r="J85" s="22">
        <f>IF(AND($A$13="x",$A$14=""),$I$85*11/100,IF(AND($A$13="",$A$14="x"),(($I$85/1.1)*11%),""))</f>
        <v>0</v>
      </c>
      <c r="K85" s="180"/>
      <c r="L85" s="52" t="str">
        <f>IF(AND($A$13="x",$A$14=""),$K$85*11/100,"")</f>
        <v/>
      </c>
      <c r="M85" s="141">
        <f>IF(AND($A$13="x",$A$14=""),($I$85+$K$85)/10,IF(AND($A$13="",$A$14="x"),$K$85*11/100,""))</f>
        <v>0</v>
      </c>
      <c r="N85" s="150" t="s">
        <v>41</v>
      </c>
      <c r="O85" s="113">
        <f>F99*O84</f>
        <v>0</v>
      </c>
      <c r="P85" s="98">
        <f>IF(AND(valeur_cp_non_prisc&lt;0,O91="oui"),-valeur_cp_non_prisc,0)</f>
        <v>0</v>
      </c>
    </row>
    <row r="86" spans="1:16" ht="13.5" customHeight="1" x14ac:dyDescent="0.25">
      <c r="A86" s="20" t="s">
        <v>17</v>
      </c>
      <c r="B86" s="21"/>
      <c r="C86" s="83" t="str">
        <f>IF(ISBLANK(J75),"mars",(EDATE(C85,1)))</f>
        <v>mars</v>
      </c>
      <c r="D86" s="81"/>
      <c r="E86" s="86">
        <v>0</v>
      </c>
      <c r="F86" s="197"/>
      <c r="G86" s="198"/>
      <c r="H86" s="19"/>
      <c r="I86" s="51"/>
      <c r="J86" s="22">
        <f>IF(AND($A$13="x",$A$14=""),$I$86*11/100,IF(AND($A$13="",$A$14="x"),(($I$86/1.1)*11%),""))</f>
        <v>0</v>
      </c>
      <c r="K86" s="180"/>
      <c r="L86" s="52" t="str">
        <f>IF(AND($A$13="x",$A$14=""),$K$86*11/100,"")</f>
        <v/>
      </c>
      <c r="M86" s="141">
        <f>IF(AND($A$13="x",$A$14=""),($I$86+$K$86)/10,IF(AND($A$13="",$A$14="x"),$K$86*11/100,""))</f>
        <v>0</v>
      </c>
      <c r="N86" s="151" t="s">
        <v>63</v>
      </c>
      <c r="O86" s="115">
        <f>(E101-E83)*O84</f>
        <v>0</v>
      </c>
    </row>
    <row r="87" spans="1:16" ht="14.25" x14ac:dyDescent="0.2">
      <c r="A87" s="20" t="s">
        <v>16</v>
      </c>
      <c r="B87" s="21"/>
      <c r="C87" s="83" t="str">
        <f>IF(ISBLANK(J75),"avril",(EDATE(C86,1)))</f>
        <v>avril</v>
      </c>
      <c r="D87" s="81"/>
      <c r="E87" s="86">
        <v>0</v>
      </c>
      <c r="F87" s="197"/>
      <c r="G87" s="198"/>
      <c r="H87" s="19"/>
      <c r="I87" s="51"/>
      <c r="J87" s="22">
        <f>IF(AND($A$13="x",$A$14=""),$I$87*11/100,IF(AND($A$13="",$A$14="x"),(($I$87/1.1)*11%),""))</f>
        <v>0</v>
      </c>
      <c r="K87" s="180"/>
      <c r="L87" s="52" t="str">
        <f>IF(AND($A$13="x",$A$14=""),$K$87*11/100,"")</f>
        <v/>
      </c>
      <c r="M87" s="141">
        <f>IF(AND($A$13="x",$A$14=""),($I$87+$K$87)/10,IF(AND($A$13="",$A$14="x"),$K$87*11/100,""))</f>
        <v>0</v>
      </c>
      <c r="N87" s="152" t="s">
        <v>40</v>
      </c>
      <c r="O87" s="26">
        <f>F98*O84</f>
        <v>0</v>
      </c>
    </row>
    <row r="88" spans="1:16" ht="14.25" x14ac:dyDescent="0.2">
      <c r="A88" s="20" t="s">
        <v>15</v>
      </c>
      <c r="B88" s="21"/>
      <c r="C88" s="83" t="str">
        <f>IF(ISBLANK(J75),"mai",(EDATE(C87,1)))</f>
        <v>mai</v>
      </c>
      <c r="D88" s="81"/>
      <c r="E88" s="86">
        <v>0</v>
      </c>
      <c r="F88" s="197"/>
      <c r="G88" s="198"/>
      <c r="H88" s="19"/>
      <c r="I88" s="51"/>
      <c r="J88" s="22">
        <f>IF(AND($A$13="x",$A$14=""),$I$88*11/100,IF(AND($A$13="",$A$14="x"),(($I$88/1.1)*11%),""))</f>
        <v>0</v>
      </c>
      <c r="K88" s="180"/>
      <c r="L88" s="52" t="str">
        <f>IF(AND($A$13="x",$A$14=""),$K$88*11/100,"")</f>
        <v/>
      </c>
      <c r="M88" s="141">
        <f>IF(AND($A$13="x",$A$14=""),($I$88+$K$88)/10,IF(AND($A$13="",$A$14="x"),$K$88*11/100,""))</f>
        <v>0</v>
      </c>
      <c r="N88" s="275"/>
      <c r="O88" s="276"/>
    </row>
    <row r="89" spans="1:16" ht="14.25" x14ac:dyDescent="0.2">
      <c r="A89" s="20" t="s">
        <v>14</v>
      </c>
      <c r="B89" s="21"/>
      <c r="C89" s="83" t="str">
        <f>IF(ISBLANK(J75),"juin",(EDATE(C88,1)))</f>
        <v>juin</v>
      </c>
      <c r="D89" s="81"/>
      <c r="E89" s="86">
        <v>0</v>
      </c>
      <c r="F89" s="197"/>
      <c r="G89" s="198"/>
      <c r="H89" s="19"/>
      <c r="I89" s="51"/>
      <c r="J89" s="22">
        <f>IF(AND($A$13="x",$A$14=""),$I$89*11/100,IF(AND($A$13="",$A$14="x"),(($I$89/1.1)*11%),""))</f>
        <v>0</v>
      </c>
      <c r="K89" s="180"/>
      <c r="L89" s="52" t="str">
        <f>IF(AND($A$13="x",$A$14=""),$K$89*11/100,"")</f>
        <v/>
      </c>
      <c r="M89" s="141">
        <f>IF(AND($A$13="x",$A$14=""),($I$89+$K$89)/10,IF(AND($A$13="",$A$14="x"),$K$89*11/100,""))</f>
        <v>0</v>
      </c>
      <c r="N89" s="153" t="s">
        <v>65</v>
      </c>
      <c r="O89" s="117">
        <f>IF(P89&lt;=0,0,(total_cp_acquisc-valeur_cp_prisc)+(valeur_cp_prisc-O90))</f>
        <v>0</v>
      </c>
      <c r="P89" s="102">
        <f>(total_cp_acquisc-valeur_cp_prisc)+(valeur_cp_prisc-total_cp_10_centc)</f>
        <v>0</v>
      </c>
    </row>
    <row r="90" spans="1:16" ht="14.25" x14ac:dyDescent="0.2">
      <c r="A90" s="20" t="s">
        <v>13</v>
      </c>
      <c r="B90" s="21"/>
      <c r="C90" s="83" t="str">
        <f>IF(ISBLANK(J75),"juillet",(EDATE(C89,1)))</f>
        <v>juillet</v>
      </c>
      <c r="D90" s="81"/>
      <c r="E90" s="86">
        <v>0</v>
      </c>
      <c r="F90" s="197"/>
      <c r="G90" s="198"/>
      <c r="H90" s="19"/>
      <c r="I90" s="51"/>
      <c r="J90" s="22">
        <f>IF(AND($A$13="x",$A$14=""),$I$90*11/100,IF(AND($A$13="",$A$14="x"),(($I$90/1.1)*11%),""))</f>
        <v>0</v>
      </c>
      <c r="K90" s="180"/>
      <c r="L90" s="52" t="str">
        <f>IF(AND($A$13="x",$A$14=""),$K$90*11/100,"")</f>
        <v/>
      </c>
      <c r="M90" s="141">
        <f>IF(AND($A$13="x",$A$14=""),($I$90+$K$90)/10,IF(AND($A$13="",$A$14="x"),$K$90*11/100,""))</f>
        <v>0</v>
      </c>
      <c r="N90" s="154" t="s">
        <v>64</v>
      </c>
      <c r="O90" s="118">
        <f>IF(total_cp_10_centc&gt;K97,total_cp_10_centc,K97)</f>
        <v>0</v>
      </c>
    </row>
    <row r="91" spans="1:16" ht="15.75" x14ac:dyDescent="0.2">
      <c r="A91" s="20" t="s">
        <v>12</v>
      </c>
      <c r="B91" s="21"/>
      <c r="C91" s="83" t="str">
        <f>IF(ISBLANK(J75),"aout",(EDATE(C90,1)))</f>
        <v>aout</v>
      </c>
      <c r="D91" s="81"/>
      <c r="E91" s="86">
        <v>0</v>
      </c>
      <c r="F91" s="197"/>
      <c r="G91" s="198"/>
      <c r="H91" s="19"/>
      <c r="I91" s="51"/>
      <c r="J91" s="22">
        <f>IF(AND($A$13="x",$A$14=""),$I$91*11/100,IF(AND($A$13="",$A$14="x"),(($I$91/1.1)*11%),""))</f>
        <v>0</v>
      </c>
      <c r="K91" s="180"/>
      <c r="L91" s="52" t="str">
        <f>IF(AND($A$13="x",$A$14=""),$K$91*11/100,"")</f>
        <v/>
      </c>
      <c r="M91" s="141">
        <f>IF(AND($A$13="x",$A$14=""),($I$91+$K$91)/10,IF(AND($A$13="",$A$14="x"),$K$91*11/100,""))</f>
        <v>0</v>
      </c>
      <c r="N91" s="27" t="s">
        <v>45</v>
      </c>
      <c r="O91" s="28" t="s">
        <v>2</v>
      </c>
    </row>
    <row r="92" spans="1:16" ht="14.25" x14ac:dyDescent="0.2">
      <c r="A92" s="20" t="s">
        <v>11</v>
      </c>
      <c r="B92" s="21"/>
      <c r="C92" s="83" t="str">
        <f>IF(ISBLANK(J75),"septembre",(EDATE(C91,1)))</f>
        <v>septembre</v>
      </c>
      <c r="D92" s="81"/>
      <c r="E92" s="86">
        <v>0</v>
      </c>
      <c r="F92" s="197"/>
      <c r="G92" s="198"/>
      <c r="H92" s="19"/>
      <c r="I92" s="51"/>
      <c r="J92" s="22">
        <f>IF(AND($A$13="x",$A$14=""),$I$92*11/100,IF(AND($A$13="",$A$14="x"),(($I$92/1.1)*11%),""))</f>
        <v>0</v>
      </c>
      <c r="K92" s="180"/>
      <c r="L92" s="52" t="str">
        <f>IF(AND($A$13="x",$A$14=""),$K$92*11/100,"")</f>
        <v/>
      </c>
      <c r="M92" s="141">
        <f>IF(AND($A$13="x",$A$14=""),($I$92+$K$92)/10,IF(AND($A$13="",$A$14="x"),$K$92*11/100,""))</f>
        <v>0</v>
      </c>
      <c r="N92" s="29"/>
      <c r="O92" s="19"/>
      <c r="P92" s="103"/>
    </row>
    <row r="93" spans="1:16" ht="15" x14ac:dyDescent="0.25">
      <c r="A93" s="20" t="s">
        <v>8</v>
      </c>
      <c r="B93" s="21"/>
      <c r="C93" s="83" t="str">
        <f>IF(ISBLANK(J75),"octobre",(EDATE(C92,1)))</f>
        <v>octobre</v>
      </c>
      <c r="D93" s="81"/>
      <c r="E93" s="86">
        <v>0</v>
      </c>
      <c r="F93" s="197"/>
      <c r="G93" s="198"/>
      <c r="H93" s="19"/>
      <c r="I93" s="51"/>
      <c r="J93" s="22">
        <f>IF(AND($A$13="x",$A$14=""),$I$93*11/100,IF(AND($A$13="",$A$14="x"),(($I$93/1.1)*11%),""))</f>
        <v>0</v>
      </c>
      <c r="K93" s="180"/>
      <c r="L93" s="52" t="str">
        <f>IF(AND($A$13="x",$A$14=""),$K$93*11/100,"")</f>
        <v/>
      </c>
      <c r="M93" s="141">
        <f>IF(AND($A$13="x",$A$14=""),($I$93+$K$93)/10,IF(AND($A$13="",$A$14="x"),$K$93*11/100,""))</f>
        <v>0</v>
      </c>
      <c r="N93" s="280" t="s">
        <v>43</v>
      </c>
      <c r="O93" s="214"/>
      <c r="P93" s="101"/>
    </row>
    <row r="94" spans="1:16" ht="14.25" x14ac:dyDescent="0.2">
      <c r="A94" s="20" t="s">
        <v>9</v>
      </c>
      <c r="B94" s="21"/>
      <c r="C94" s="83" t="str">
        <f>IF(ISBLANK(J75),"novembre",(EDATE(C93,1)))</f>
        <v>novembre</v>
      </c>
      <c r="D94" s="81"/>
      <c r="E94" s="86">
        <v>0</v>
      </c>
      <c r="F94" s="197"/>
      <c r="G94" s="198"/>
      <c r="H94" s="19"/>
      <c r="I94" s="51"/>
      <c r="J94" s="22">
        <f>IF(AND($A$13="x",$A$14=""),$I$94*11/100,IF(AND($A$13="",$A$14="x"),(($I$94/1.1)*11%),""))</f>
        <v>0</v>
      </c>
      <c r="K94" s="180"/>
      <c r="L94" s="52" t="str">
        <f>IF(AND($A$13="x",$A$14=""),$K$94*11/100,"")</f>
        <v/>
      </c>
      <c r="M94" s="141">
        <f>IF(AND($A$13="x",$A$14=""),($I$94+$K$94)/10,IF(AND($A$13="",$A$14="x"),$K$94*11/100,""))</f>
        <v>0</v>
      </c>
      <c r="N94" s="280" t="s">
        <v>44</v>
      </c>
      <c r="O94" s="214"/>
    </row>
    <row r="95" spans="1:16" ht="14.25" customHeight="1" x14ac:dyDescent="0.2">
      <c r="A95" s="30" t="s">
        <v>10</v>
      </c>
      <c r="B95" s="31"/>
      <c r="C95" s="83" t="str">
        <f>IF(ISBLANK(J75),"décembre",(EDATE(C94,1)))</f>
        <v>décembre</v>
      </c>
      <c r="D95" s="82"/>
      <c r="E95" s="87">
        <v>0</v>
      </c>
      <c r="F95" s="197"/>
      <c r="G95" s="198"/>
      <c r="H95" s="19"/>
      <c r="I95" s="51"/>
      <c r="J95" s="69">
        <f>IF(AND($A$13="x",$A$14=""),$I$95*11/100,IF(AND($A$13="",$A$14="x"),(($I$95/1.1)*11%),""))</f>
        <v>0</v>
      </c>
      <c r="K95" s="181"/>
      <c r="L95" s="55" t="str">
        <f>IF(AND($A$13="x",$A$14=""),$K$95*11/100,"")</f>
        <v/>
      </c>
      <c r="M95" s="141">
        <f>IF(AND($A$13="x",$A$14=""),($I$95+$K$95)/10,IF(AND($A$13="",$A$14="x"),$K$95*11/100,""))</f>
        <v>0</v>
      </c>
      <c r="N95" s="261" t="s">
        <v>66</v>
      </c>
      <c r="O95" s="277">
        <f>IF(AND(O91="oui",valeur_cp_non_prisc&gt;0),O89,IF(AND(O91="non",valeur_cp_non_prisc&lt;0),O89,valeur_cp_non_prisc+O89))+IF(AND(valeur_cp_non_prisc&lt;0,O91="oui"),O89,0)</f>
        <v>0</v>
      </c>
      <c r="P95" s="270"/>
    </row>
    <row r="96" spans="1:16" ht="15.75" customHeight="1" x14ac:dyDescent="0.25">
      <c r="A96" s="252" t="str">
        <f>IF(AND($A$13="x",$A$14=""),"Régularisation Congés payés fin d'année de référence  (Autre formule 10% sur CP)",IF(AND($A$13="",$A$14="x"),"Total des Cp inclus + total CP Hrs comp/sup (cellule I)",""))</f>
        <v>Total des Cp inclus + total CP Hrs comp/sup (cellule I)</v>
      </c>
      <c r="B96" s="253"/>
      <c r="C96" s="253"/>
      <c r="D96" s="253"/>
      <c r="E96" s="253"/>
      <c r="F96" s="253"/>
      <c r="G96" s="253"/>
      <c r="H96" s="253"/>
      <c r="I96" s="253"/>
      <c r="J96" s="73">
        <f>IF(AND($A$13="x",$A$14=""),"",IF(AND($A$13="",$A$14="x"),($J$84+$J$85+$J$86+$J$87+$J$88+$J$89+$J$90+$J$91+$J$92+$J$93+$J$94+$J$95),""))</f>
        <v>0</v>
      </c>
      <c r="K96" s="56" t="str">
        <f>IF(AND($A$13="x",$A$14=""),"",IF(AND($A$13="",$A$14="x"),"Total CP= Hrs Comp/Supp",""))</f>
        <v>Total CP= Hrs Comp/Supp</v>
      </c>
      <c r="L96" s="56"/>
      <c r="M96" s="74">
        <f>IF(AND($A$13="x",$A$14=""),(M84+M85+M86+M87+M88+M89+M90+M91+M92+M93+M94+M95)/10,IF(AND($A$13="",$A$14="x"),M84+M85+M86+M87+M88+M89+M90+M91+M92+M93+M94+M95,""))</f>
        <v>0</v>
      </c>
      <c r="N96" s="261"/>
      <c r="O96" s="277"/>
      <c r="P96" s="270"/>
    </row>
    <row r="97" spans="1:18" ht="15.75" x14ac:dyDescent="0.25">
      <c r="A97" s="257" t="s">
        <v>83</v>
      </c>
      <c r="B97" s="258"/>
      <c r="C97" s="258"/>
      <c r="D97" s="259"/>
      <c r="E97" s="165">
        <f>'Explication déduction CP'!E31+'Explication déduction CP'!E54</f>
        <v>0</v>
      </c>
      <c r="G97" s="122"/>
      <c r="H97" s="122"/>
      <c r="I97" s="123"/>
      <c r="J97" s="124"/>
      <c r="K97" s="126"/>
      <c r="L97" s="127"/>
      <c r="M97" s="127"/>
      <c r="N97" s="261"/>
      <c r="O97" s="271" t="str">
        <f>IF(AND($F$99&lt;0,O91="oui"),"Report sur l'année suivante",IF(AND($F$99&lt;0,O91="non"),-valeur_cp_non_prisc,""))</f>
        <v/>
      </c>
      <c r="P97" s="270"/>
    </row>
    <row r="98" spans="1:18" ht="14.25" x14ac:dyDescent="0.2">
      <c r="A98" s="160" t="s">
        <v>21</v>
      </c>
      <c r="B98" s="161"/>
      <c r="C98" s="170">
        <f>SUM(E84:E95)</f>
        <v>0</v>
      </c>
      <c r="D98" s="170">
        <f>IF(C98&gt;29,30,IF(C98&gt;30,30,C98))</f>
        <v>0</v>
      </c>
      <c r="E98" s="166">
        <f>IF(ISBLANK(E97),(ROUNDUP(D98,2)),(ROUNDUP((D98-E97),0)))</f>
        <v>0</v>
      </c>
      <c r="F98" s="146">
        <f xml:space="preserve"> SUM(F84:G95)</f>
        <v>0</v>
      </c>
      <c r="G98" s="144" t="s">
        <v>67</v>
      </c>
      <c r="H98" s="38" t="str">
        <f>G98</f>
        <v>CP pris</v>
      </c>
      <c r="I98" s="239" t="s">
        <v>37</v>
      </c>
      <c r="J98" s="290">
        <f>IF(AND($A$13="x",$A$14=""),($J$84+$J$85+$J$86+$J$87+$J$88+$J$89+$J$90+$J$91+$J$92+$J$93+$J$94+$J$95+$L$84+$L$85+$L$86+$L$87+$L$88+$L$89+$L$90+$L$91+$L$92+$L$93+$L$94+$L$95),IF(AND($A$13="",$A$14="x"),ROUNDUP($J$96+$M$96,2),""))</f>
        <v>0</v>
      </c>
      <c r="K98" s="241">
        <f>IF(AND($A$13="x",$A$14=""),($J$26+$J$27+$J$28+$J$29+$J$30+$J$31+$J$32+$J$33+$J$34+$J$35+$J$36+$J$37),IF(AND($A$13="",$A$14="x"),ROUNDUP($J$38+$M$38,2),""))</f>
        <v>0</v>
      </c>
      <c r="M98" s="260" t="str">
        <f>IF(AND($A$13="x",$A$14=""),$M$84+$M$85+$M$86+$M$87+$M$88+$M$89+$M$90+$M$91+$M$92+$M$93+$M$94+$M$95+$M$96,IF(AND($A$13="",$A$14="x"),"",""))</f>
        <v/>
      </c>
      <c r="N98" s="273" t="str">
        <f>IF(AND($F$99&lt;0,valeur_cp_non_prisc&lt;0,$O$91="non"),"Remboursement trop perçu à l'employeur (régularisation plus favorable reste due) ","")</f>
        <v/>
      </c>
      <c r="O98" s="271"/>
      <c r="P98" s="270"/>
    </row>
    <row r="99" spans="1:18" ht="14.25" x14ac:dyDescent="0.2">
      <c r="A99" s="176"/>
      <c r="B99" s="177"/>
      <c r="C99" s="178"/>
      <c r="D99" s="178"/>
      <c r="E99" s="179"/>
      <c r="F99" s="147">
        <f>E101-F98</f>
        <v>0</v>
      </c>
      <c r="G99" s="145" t="str">
        <f>IF(F99&lt;0,"CP-NON-acquis","Reste à prendre")</f>
        <v>Reste à prendre</v>
      </c>
      <c r="H99" s="19"/>
      <c r="I99" s="240"/>
      <c r="J99" s="291"/>
      <c r="K99" s="241"/>
      <c r="M99" s="260"/>
      <c r="N99" s="274"/>
      <c r="O99" s="272"/>
      <c r="P99" s="104"/>
    </row>
    <row r="100" spans="1:18" ht="15.75" customHeight="1" x14ac:dyDescent="0.2">
      <c r="A100" s="162" t="s">
        <v>7</v>
      </c>
      <c r="B100" s="163"/>
      <c r="C100" s="164"/>
      <c r="D100" s="164"/>
      <c r="E100" s="76"/>
      <c r="H100" s="19"/>
      <c r="I100" s="41"/>
      <c r="K100" s="97"/>
      <c r="L100" s="97"/>
      <c r="M100" s="97"/>
      <c r="P100" s="107"/>
    </row>
    <row r="101" spans="1:18" ht="14.25" x14ac:dyDescent="0.2">
      <c r="A101" s="237" t="s">
        <v>22</v>
      </c>
      <c r="B101" s="238"/>
      <c r="C101" s="238"/>
      <c r="D101" s="175"/>
      <c r="E101" s="169">
        <f>IF($E$98&gt;30,30,IF($E$98+$E$100&gt;32,32,$E$98+$E$100))+$E$83</f>
        <v>0</v>
      </c>
      <c r="H101" s="19"/>
      <c r="I101" s="53"/>
      <c r="J101" s="248" t="s">
        <v>48</v>
      </c>
      <c r="K101" s="248"/>
      <c r="L101" s="248"/>
      <c r="M101" s="248"/>
      <c r="N101" s="248"/>
      <c r="O101" s="248"/>
    </row>
    <row r="102" spans="1:18" ht="8.25" customHeight="1" x14ac:dyDescent="0.25">
      <c r="A102" s="19"/>
      <c r="B102" s="19"/>
      <c r="C102" s="19"/>
      <c r="D102" s="19"/>
      <c r="E102" s="19"/>
      <c r="F102" s="19"/>
      <c r="G102" s="19"/>
      <c r="H102" s="19"/>
      <c r="I102" s="19"/>
      <c r="J102" s="19"/>
      <c r="K102" s="19"/>
      <c r="P102" s="101"/>
    </row>
    <row r="103" spans="1:18" ht="15" x14ac:dyDescent="0.25">
      <c r="A103" s="70"/>
      <c r="B103" s="196" t="s">
        <v>53</v>
      </c>
      <c r="C103" s="196"/>
      <c r="D103" s="196"/>
      <c r="E103" s="196"/>
      <c r="F103" s="196"/>
      <c r="G103" s="196"/>
      <c r="H103" s="53"/>
      <c r="I103" s="53"/>
      <c r="J103" s="19"/>
      <c r="K103" s="53"/>
      <c r="N103" s="195" t="s">
        <v>54</v>
      </c>
      <c r="O103" s="195"/>
      <c r="P103" s="106"/>
    </row>
    <row r="104" spans="1:18" ht="15.75" x14ac:dyDescent="0.25">
      <c r="A104" s="53"/>
      <c r="B104" s="196"/>
      <c r="C104" s="196"/>
      <c r="D104" s="196"/>
      <c r="E104" s="196"/>
      <c r="F104" s="196"/>
      <c r="G104" s="196"/>
      <c r="H104" s="53"/>
      <c r="I104" s="53"/>
      <c r="J104" s="71" t="s">
        <v>77</v>
      </c>
      <c r="K104" s="53"/>
      <c r="N104" s="195"/>
      <c r="O104" s="195"/>
      <c r="P104" s="101"/>
    </row>
    <row r="105" spans="1:18" ht="15" x14ac:dyDescent="0.25">
      <c r="A105" s="1"/>
      <c r="D105" s="1"/>
      <c r="E105" s="1"/>
      <c r="F105" s="1"/>
      <c r="G105" s="1"/>
      <c r="H105" s="1"/>
      <c r="I105" s="1"/>
      <c r="J105" s="1"/>
      <c r="K105" s="1"/>
      <c r="L105" s="1"/>
      <c r="M105" s="1"/>
      <c r="P105" s="101"/>
    </row>
    <row r="106" spans="1:18" ht="15" x14ac:dyDescent="0.25">
      <c r="A106" s="1"/>
      <c r="B106" s="1"/>
      <c r="C106" s="1"/>
      <c r="D106" s="1"/>
      <c r="E106" s="1"/>
      <c r="F106" s="1"/>
      <c r="G106" s="1"/>
      <c r="H106" s="1"/>
      <c r="I106" s="1"/>
      <c r="J106" s="1"/>
      <c r="K106" s="1"/>
      <c r="L106" s="1"/>
      <c r="M106" s="1"/>
      <c r="N106" s="1"/>
      <c r="O106" s="1"/>
      <c r="P106" s="101"/>
      <c r="Q106" s="1"/>
      <c r="R106" s="1"/>
    </row>
    <row r="107" spans="1:18" ht="15" x14ac:dyDescent="0.25">
      <c r="A107" s="1"/>
      <c r="B107" s="1"/>
      <c r="C107" s="1"/>
      <c r="D107" s="1"/>
      <c r="E107" s="1"/>
      <c r="F107" s="1"/>
      <c r="G107" s="1"/>
      <c r="H107" s="1"/>
      <c r="I107" s="1"/>
      <c r="J107" s="1"/>
      <c r="K107" s="1"/>
      <c r="L107" s="1"/>
      <c r="M107" s="1"/>
      <c r="N107" s="1"/>
      <c r="O107" s="1"/>
      <c r="P107" s="101"/>
      <c r="Q107" s="1"/>
      <c r="R107" s="1"/>
    </row>
    <row r="108" spans="1:18" ht="15" x14ac:dyDescent="0.25">
      <c r="A108" s="1"/>
      <c r="B108" s="1"/>
      <c r="C108" s="1"/>
      <c r="D108" s="1"/>
      <c r="E108" s="1"/>
      <c r="F108" s="1"/>
      <c r="G108" s="1"/>
      <c r="H108" s="1"/>
      <c r="J108" s="1"/>
      <c r="K108" s="1"/>
      <c r="L108" s="1"/>
      <c r="M108" s="1"/>
      <c r="N108" s="1"/>
      <c r="O108" s="1"/>
      <c r="P108" s="101"/>
      <c r="Q108" s="1"/>
      <c r="R108" s="1"/>
    </row>
  </sheetData>
  <sheetProtection algorithmName="SHA-512" hashValue="+vzSr+0u/gQ6kzuWwhinGkWZaYVwpb/Xp0aPLTLwO6SKNXu6wmCosZvG/MZu6TNKh9yLyhdNXrarSVPlETEFMg==" saltValue="jKi+C/DEbQ4VlqzNUBCjVw==" spinCount="100000" sheet="1" selectLockedCells="1"/>
  <mergeCells count="150">
    <mergeCell ref="A83:C83"/>
    <mergeCell ref="A80:E80"/>
    <mergeCell ref="A81:E82"/>
    <mergeCell ref="F56:G56"/>
    <mergeCell ref="N64:O64"/>
    <mergeCell ref="N65:O65"/>
    <mergeCell ref="A77:G77"/>
    <mergeCell ref="B13:F13"/>
    <mergeCell ref="B14:F14"/>
    <mergeCell ref="L23:L24"/>
    <mergeCell ref="A39:D39"/>
    <mergeCell ref="A52:E53"/>
    <mergeCell ref="A23:E24"/>
    <mergeCell ref="A48:G48"/>
    <mergeCell ref="A22:E22"/>
    <mergeCell ref="F33:G33"/>
    <mergeCell ref="F34:G34"/>
    <mergeCell ref="F59:G59"/>
    <mergeCell ref="A54:C54"/>
    <mergeCell ref="F60:G60"/>
    <mergeCell ref="F94:G94"/>
    <mergeCell ref="F91:G91"/>
    <mergeCell ref="I80:L80"/>
    <mergeCell ref="O95:O96"/>
    <mergeCell ref="I77:O77"/>
    <mergeCell ref="N80:O80"/>
    <mergeCell ref="N98:N99"/>
    <mergeCell ref="J98:J99"/>
    <mergeCell ref="K98:K99"/>
    <mergeCell ref="K81:K82"/>
    <mergeCell ref="F95:G95"/>
    <mergeCell ref="F92:G92"/>
    <mergeCell ref="F93:G93"/>
    <mergeCell ref="F87:G87"/>
    <mergeCell ref="F88:G88"/>
    <mergeCell ref="F89:G89"/>
    <mergeCell ref="F90:G90"/>
    <mergeCell ref="F83:G83"/>
    <mergeCell ref="F84:G84"/>
    <mergeCell ref="F85:G85"/>
    <mergeCell ref="F86:G86"/>
    <mergeCell ref="P95:P96"/>
    <mergeCell ref="N93:O93"/>
    <mergeCell ref="O40:O42"/>
    <mergeCell ref="N41:N42"/>
    <mergeCell ref="O66:O67"/>
    <mergeCell ref="N94:O94"/>
    <mergeCell ref="N66:N68"/>
    <mergeCell ref="N95:N97"/>
    <mergeCell ref="N88:O88"/>
    <mergeCell ref="P97:P98"/>
    <mergeCell ref="N81:O82"/>
    <mergeCell ref="O97:O99"/>
    <mergeCell ref="N51:O51"/>
    <mergeCell ref="P38:P39"/>
    <mergeCell ref="P40:P41"/>
    <mergeCell ref="F81:G82"/>
    <mergeCell ref="F65:G65"/>
    <mergeCell ref="F61:G61"/>
    <mergeCell ref="F55:G55"/>
    <mergeCell ref="N52:O53"/>
    <mergeCell ref="F36:G36"/>
    <mergeCell ref="I48:O48"/>
    <mergeCell ref="F52:G53"/>
    <mergeCell ref="P66:P67"/>
    <mergeCell ref="O68:O70"/>
    <mergeCell ref="P68:P69"/>
    <mergeCell ref="N69:N70"/>
    <mergeCell ref="N59:O59"/>
    <mergeCell ref="O38:O39"/>
    <mergeCell ref="F64:G64"/>
    <mergeCell ref="J81:J82"/>
    <mergeCell ref="F57:G57"/>
    <mergeCell ref="F58:G58"/>
    <mergeCell ref="F54:G54"/>
    <mergeCell ref="I40:I41"/>
    <mergeCell ref="A75:G75"/>
    <mergeCell ref="A68:D68"/>
    <mergeCell ref="J101:O101"/>
    <mergeCell ref="I81:I82"/>
    <mergeCell ref="I43:O43"/>
    <mergeCell ref="M40:M41"/>
    <mergeCell ref="F32:G32"/>
    <mergeCell ref="E4:J4"/>
    <mergeCell ref="A96:I96"/>
    <mergeCell ref="A67:I67"/>
    <mergeCell ref="A38:I38"/>
    <mergeCell ref="A8:C8"/>
    <mergeCell ref="A97:D97"/>
    <mergeCell ref="M98:M99"/>
    <mergeCell ref="A101:C101"/>
    <mergeCell ref="F31:G31"/>
    <mergeCell ref="F27:G27"/>
    <mergeCell ref="N38:N40"/>
    <mergeCell ref="J52:J53"/>
    <mergeCell ref="L81:L82"/>
    <mergeCell ref="I98:I99"/>
    <mergeCell ref="F28:G28"/>
    <mergeCell ref="K4:L4"/>
    <mergeCell ref="I20:O20"/>
    <mergeCell ref="N23:O24"/>
    <mergeCell ref="N22:O22"/>
    <mergeCell ref="G14:I14"/>
    <mergeCell ref="A72:C72"/>
    <mergeCell ref="L52:L53"/>
    <mergeCell ref="I69:I70"/>
    <mergeCell ref="E8:O8"/>
    <mergeCell ref="A46:G46"/>
    <mergeCell ref="N37:O37"/>
    <mergeCell ref="F29:G29"/>
    <mergeCell ref="F30:G30"/>
    <mergeCell ref="K40:K41"/>
    <mergeCell ref="M69:M70"/>
    <mergeCell ref="A17:G17"/>
    <mergeCell ref="F26:G26"/>
    <mergeCell ref="K23:K24"/>
    <mergeCell ref="I23:I24"/>
    <mergeCell ref="F35:G35"/>
    <mergeCell ref="J23:J24"/>
    <mergeCell ref="A51:E51"/>
    <mergeCell ref="J69:J70"/>
    <mergeCell ref="K69:K70"/>
    <mergeCell ref="F66:G66"/>
    <mergeCell ref="F63:G63"/>
    <mergeCell ref="F37:G37"/>
    <mergeCell ref="J40:J41"/>
    <mergeCell ref="N103:O104"/>
    <mergeCell ref="B103:G104"/>
    <mergeCell ref="F62:G62"/>
    <mergeCell ref="A12:F12"/>
    <mergeCell ref="G13:O13"/>
    <mergeCell ref="A43:D43"/>
    <mergeCell ref="F25:L25"/>
    <mergeCell ref="I51:L51"/>
    <mergeCell ref="A1:O1"/>
    <mergeCell ref="N36:O36"/>
    <mergeCell ref="I52:I53"/>
    <mergeCell ref="A19:G19"/>
    <mergeCell ref="F23:G24"/>
    <mergeCell ref="A41:B41"/>
    <mergeCell ref="K52:K53"/>
    <mergeCell ref="M23:M24"/>
    <mergeCell ref="M81:M82"/>
    <mergeCell ref="M52:M53"/>
    <mergeCell ref="A10:O10"/>
    <mergeCell ref="N4:O4"/>
    <mergeCell ref="A4:C4"/>
    <mergeCell ref="A20:G20"/>
    <mergeCell ref="I22:L22"/>
    <mergeCell ref="B11:O11"/>
  </mergeCells>
  <conditionalFormatting sqref="I23:O24">
    <cfRule type="expression" dxfId="29" priority="7" stopIfTrue="1">
      <formula>$A$13="x"</formula>
    </cfRule>
  </conditionalFormatting>
  <conditionalFormatting sqref="I52:O53">
    <cfRule type="expression" dxfId="28" priority="3" stopIfTrue="1">
      <formula>$A$13="x"</formula>
    </cfRule>
  </conditionalFormatting>
  <conditionalFormatting sqref="I81:O82">
    <cfRule type="expression" dxfId="27" priority="1" stopIfTrue="1">
      <formula>$A$13="x"</formula>
    </cfRule>
  </conditionalFormatting>
  <conditionalFormatting sqref="N25 J40 N54 J69 N83 J98">
    <cfRule type="expression" dxfId="26" priority="11" stopIfTrue="1">
      <formula>$A$13="x"</formula>
    </cfRule>
  </conditionalFormatting>
  <conditionalFormatting sqref="N25 M40">
    <cfRule type="expression" dxfId="25" priority="21" stopIfTrue="1">
      <formula>$A$12="x"</formula>
    </cfRule>
  </conditionalFormatting>
  <conditionalFormatting sqref="N54">
    <cfRule type="expression" dxfId="24" priority="17" stopIfTrue="1">
      <formula>$A$12="x"</formula>
    </cfRule>
  </conditionalFormatting>
  <conditionalFormatting sqref="N59">
    <cfRule type="containsErrors" dxfId="23" priority="15" stopIfTrue="1">
      <formula>ISERROR(N59)</formula>
    </cfRule>
  </conditionalFormatting>
  <conditionalFormatting sqref="N83">
    <cfRule type="expression" dxfId="22" priority="14" stopIfTrue="1">
      <formula>$A$12="x"</formula>
    </cfRule>
  </conditionalFormatting>
  <conditionalFormatting sqref="N88">
    <cfRule type="containsErrors" dxfId="21" priority="12" stopIfTrue="1">
      <formula>ISERROR(N88)</formula>
    </cfRule>
  </conditionalFormatting>
  <conditionalFormatting sqref="O31">
    <cfRule type="cellIs" dxfId="20" priority="20" stopIfTrue="1" operator="lessThanOrEqual">
      <formula>0</formula>
    </cfRule>
  </conditionalFormatting>
  <conditionalFormatting sqref="O38:O39">
    <cfRule type="expression" dxfId="19" priority="9" stopIfTrue="1">
      <formula>$O$38&lt;0</formula>
    </cfRule>
  </conditionalFormatting>
  <conditionalFormatting sqref="O60">
    <cfRule type="cellIs" dxfId="18" priority="16" stopIfTrue="1" operator="lessThanOrEqual">
      <formula>0</formula>
    </cfRule>
  </conditionalFormatting>
  <conditionalFormatting sqref="O66:O67">
    <cfRule type="expression" dxfId="17" priority="10" stopIfTrue="1">
      <formula>$O$66&lt;0</formula>
    </cfRule>
  </conditionalFormatting>
  <conditionalFormatting sqref="O89">
    <cfRule type="cellIs" dxfId="16" priority="13" stopIfTrue="1" operator="lessThanOrEqual">
      <formula>0</formula>
    </cfRule>
  </conditionalFormatting>
  <conditionalFormatting sqref="O95:O96">
    <cfRule type="expression" dxfId="15" priority="8" stopIfTrue="1">
      <formula>$O$95&lt;0</formula>
    </cfRule>
  </conditionalFormatting>
  <dataValidations count="3">
    <dataValidation type="list" allowBlank="1" showInputMessage="1" showErrorMessage="1" sqref="G51 G22 G80 O33 O91 O62" xr:uid="{0194D2DB-59B1-4ADA-8E46-71606C3B5C8D}">
      <formula1>oui_non</formula1>
    </dataValidation>
    <dataValidation type="list" allowBlank="1" showInputMessage="1" showErrorMessage="1" sqref="E55:E66 E26:E37 E84:E95" xr:uid="{0A503ADB-8265-4629-B13B-49388D9E4B39}">
      <formula1>jours_ouvrables</formula1>
    </dataValidation>
    <dataValidation type="list" allowBlank="1" showInputMessage="1" showErrorMessage="1" sqref="E71 E42 E100" xr:uid="{30853EC7-0C39-4698-BC79-D85D8D639C48}">
      <formula1>cp</formula1>
    </dataValidation>
  </dataValidations>
  <pageMargins left="7.6291079812206572E-3" right="5.642361111111111E-3" top="0" bottom="0" header="0" footer="0"/>
  <pageSetup paperSize="9" scale="49" fitToHeight="0" orientation="portrait" horizontalDpi="4294967293"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0D9A3-6B14-4289-8E40-9EB7AB652B85}">
  <sheetPr codeName="Feuil1">
    <pageSetUpPr fitToPage="1"/>
  </sheetPr>
  <dimension ref="A1:R108"/>
  <sheetViews>
    <sheetView showGridLines="0" zoomScale="75" zoomScaleNormal="75" zoomScaleSheetLayoutView="95" zoomScalePageLayoutView="96" workbookViewId="0">
      <selection activeCell="I17" sqref="I17"/>
    </sheetView>
  </sheetViews>
  <sheetFormatPr baseColWidth="10" defaultColWidth="13.83203125" defaultRowHeight="11.25" x14ac:dyDescent="0.2"/>
  <cols>
    <col min="1" max="1" width="3.6640625" customWidth="1"/>
    <col min="2" max="2" width="32.33203125" customWidth="1"/>
    <col min="3" max="3" width="13" customWidth="1"/>
    <col min="4" max="4" width="6" customWidth="1"/>
    <col min="5" max="5" width="7" customWidth="1"/>
    <col min="6" max="6" width="6.83203125" customWidth="1"/>
    <col min="7" max="7" width="26" customWidth="1"/>
    <col min="8" max="8" width="0.6640625" customWidth="1"/>
    <col min="9" max="9" width="18.1640625" customWidth="1"/>
    <col min="10" max="10" width="17.6640625" customWidth="1"/>
    <col min="11" max="11" width="39.5" customWidth="1"/>
    <col min="12" max="12" width="17.6640625" customWidth="1"/>
    <col min="13" max="13" width="19.5" customWidth="1"/>
    <col min="14" max="14" width="62" customWidth="1"/>
    <col min="15" max="15" width="19.1640625" customWidth="1"/>
    <col min="16" max="16" width="13.83203125" style="98" hidden="1" customWidth="1"/>
    <col min="17" max="17" width="4.6640625" customWidth="1"/>
    <col min="18" max="18" width="9" customWidth="1"/>
    <col min="19" max="19" width="9.5" customWidth="1"/>
    <col min="20" max="20" width="3.6640625" customWidth="1"/>
    <col min="22" max="22" width="8.6640625" customWidth="1"/>
    <col min="23" max="23" width="3.33203125" customWidth="1"/>
    <col min="24" max="24" width="1.6640625" customWidth="1"/>
  </cols>
  <sheetData>
    <row r="1" spans="1:16" ht="66.75" customHeight="1" x14ac:dyDescent="0.2">
      <c r="A1" s="212" t="str">
        <f>IF(AND($A$13="x",$A$14=""),"CALCUL  DES CONGES PAYES : Mensualisation Congés payées Non Inclus
",IF(AND($A$13="",$A$14="x"),"CALCUL  DES CONGES PAYES: Mensualisation Congés payés Inclus",""))</f>
        <v>CALCUL  DES CONGES PAYES: Mensualisation Congés payés Inclus</v>
      </c>
      <c r="B1" s="212"/>
      <c r="C1" s="212"/>
      <c r="D1" s="212"/>
      <c r="E1" s="212"/>
      <c r="F1" s="212"/>
      <c r="G1" s="212"/>
      <c r="H1" s="212"/>
      <c r="I1" s="212"/>
      <c r="J1" s="212"/>
      <c r="K1" s="212"/>
      <c r="L1" s="212"/>
      <c r="M1" s="212"/>
      <c r="N1" s="212"/>
      <c r="O1" s="212"/>
    </row>
    <row r="2" spans="1:16" ht="9" customHeight="1" x14ac:dyDescent="0.2"/>
    <row r="3" spans="1:16" ht="3.75" customHeight="1" x14ac:dyDescent="0.2"/>
    <row r="4" spans="1:16" ht="18.75" customHeight="1" x14ac:dyDescent="0.2">
      <c r="A4" s="231" t="s">
        <v>51</v>
      </c>
      <c r="B4" s="231"/>
      <c r="C4" s="231"/>
      <c r="D4" s="78"/>
      <c r="E4" s="230"/>
      <c r="F4" s="230"/>
      <c r="G4" s="230"/>
      <c r="H4" s="230"/>
      <c r="I4" s="230"/>
      <c r="J4" s="230"/>
      <c r="K4" s="262" t="s">
        <v>52</v>
      </c>
      <c r="L4" s="262"/>
      <c r="M4" s="137"/>
      <c r="N4" s="230"/>
      <c r="O4" s="230"/>
    </row>
    <row r="5" spans="1:16" ht="1.5" customHeight="1" x14ac:dyDescent="0.2">
      <c r="A5" s="14"/>
      <c r="B5" s="14"/>
    </row>
    <row r="6" spans="1:16" ht="1.5" customHeight="1" x14ac:dyDescent="0.2">
      <c r="A6" s="14"/>
      <c r="B6" s="14"/>
    </row>
    <row r="7" spans="1:16" ht="1.5" customHeight="1" x14ac:dyDescent="0.2">
      <c r="A7" s="14"/>
      <c r="B7" s="14"/>
    </row>
    <row r="8" spans="1:16" ht="18.75" customHeight="1" x14ac:dyDescent="0.2">
      <c r="A8" s="256" t="s">
        <v>50</v>
      </c>
      <c r="B8" s="256"/>
      <c r="C8" s="256"/>
      <c r="D8" s="77"/>
      <c r="E8" s="230"/>
      <c r="F8" s="230"/>
      <c r="G8" s="230"/>
      <c r="H8" s="230"/>
      <c r="I8" s="230"/>
      <c r="J8" s="230"/>
      <c r="K8" s="230"/>
      <c r="L8" s="230"/>
      <c r="M8" s="230"/>
      <c r="N8" s="230"/>
      <c r="O8" s="230"/>
    </row>
    <row r="9" spans="1:16" ht="1.5" customHeight="1" x14ac:dyDescent="0.2">
      <c r="A9" s="4"/>
      <c r="B9" s="4"/>
    </row>
    <row r="10" spans="1:16" ht="16.5" customHeight="1" x14ac:dyDescent="0.2">
      <c r="A10" s="229" t="s">
        <v>46</v>
      </c>
      <c r="B10" s="229"/>
      <c r="C10" s="229"/>
      <c r="D10" s="229"/>
      <c r="E10" s="229"/>
      <c r="F10" s="229"/>
      <c r="G10" s="229"/>
      <c r="H10" s="229"/>
      <c r="I10" s="229"/>
      <c r="J10" s="229"/>
      <c r="K10" s="229"/>
      <c r="L10" s="229"/>
      <c r="M10" s="229"/>
      <c r="N10" s="229"/>
      <c r="O10" s="229"/>
      <c r="P10" s="99"/>
    </row>
    <row r="11" spans="1:16" ht="21" customHeight="1" x14ac:dyDescent="0.2">
      <c r="A11" s="2"/>
      <c r="B11" s="229" t="s">
        <v>32</v>
      </c>
      <c r="C11" s="229"/>
      <c r="D11" s="229"/>
      <c r="E11" s="229"/>
      <c r="F11" s="229"/>
      <c r="G11" s="229"/>
      <c r="H11" s="229"/>
      <c r="I11" s="229"/>
      <c r="J11" s="229"/>
      <c r="K11" s="229"/>
      <c r="L11" s="229"/>
      <c r="M11" s="229"/>
      <c r="N11" s="229"/>
      <c r="O11" s="229"/>
      <c r="P11" s="99"/>
    </row>
    <row r="12" spans="1:16" ht="11.25" customHeight="1" x14ac:dyDescent="0.2">
      <c r="A12" s="199" t="s">
        <v>73</v>
      </c>
      <c r="B12" s="200"/>
      <c r="C12" s="200"/>
      <c r="D12" s="200"/>
      <c r="E12" s="200"/>
      <c r="F12" s="201"/>
    </row>
    <row r="13" spans="1:16" ht="18" customHeight="1" x14ac:dyDescent="0.35">
      <c r="A13" s="6"/>
      <c r="B13" s="292" t="s">
        <v>29</v>
      </c>
      <c r="C13" s="293"/>
      <c r="D13" s="293"/>
      <c r="E13" s="293"/>
      <c r="F13" s="294"/>
      <c r="G13" s="202" t="str">
        <f>IF(AND(A13="x",A14="x"), "Attention, veuillez saisir une seule cellule, recommencez! ",IF(AND(A13="",A14=""),"ATTENTION ,veuillez saisir ci contre le calcul des congés payés ",""))</f>
        <v/>
      </c>
      <c r="H13" s="203"/>
      <c r="I13" s="203"/>
      <c r="J13" s="203"/>
      <c r="K13" s="203"/>
      <c r="L13" s="203"/>
      <c r="M13" s="203"/>
      <c r="N13" s="203"/>
      <c r="O13" s="203"/>
    </row>
    <row r="14" spans="1:16" ht="19.5" customHeight="1" x14ac:dyDescent="0.35">
      <c r="A14" s="6" t="s">
        <v>49</v>
      </c>
      <c r="B14" s="295" t="s">
        <v>30</v>
      </c>
      <c r="C14" s="296"/>
      <c r="D14" s="296"/>
      <c r="E14" s="296"/>
      <c r="F14" s="297"/>
      <c r="G14" s="305" t="s">
        <v>74</v>
      </c>
      <c r="H14" s="306"/>
      <c r="I14" s="306"/>
      <c r="J14" s="306"/>
      <c r="K14" s="306"/>
      <c r="L14" s="306"/>
      <c r="M14" s="306"/>
      <c r="N14" s="306"/>
      <c r="O14" s="306"/>
      <c r="P14" s="100"/>
    </row>
    <row r="15" spans="1:16" ht="3.75" customHeight="1" x14ac:dyDescent="0.2">
      <c r="B15" s="2"/>
      <c r="N15" s="3"/>
    </row>
    <row r="16" spans="1:16" ht="3" customHeight="1" x14ac:dyDescent="0.2">
      <c r="N16" s="3"/>
    </row>
    <row r="17" spans="1:16" ht="15.75" x14ac:dyDescent="0.25">
      <c r="A17" s="243" t="s">
        <v>31</v>
      </c>
      <c r="B17" s="244"/>
      <c r="C17" s="244"/>
      <c r="D17" s="244"/>
      <c r="E17" s="244"/>
      <c r="F17" s="244"/>
      <c r="G17" s="245"/>
      <c r="I17" s="15"/>
      <c r="J17" s="1"/>
      <c r="K17" s="1"/>
      <c r="L17" s="1"/>
      <c r="M17" s="1"/>
      <c r="N17" s="1"/>
      <c r="O17" s="1"/>
      <c r="P17" s="101"/>
    </row>
    <row r="18" spans="1:16" ht="3.75" customHeight="1" x14ac:dyDescent="0.25">
      <c r="A18" s="1"/>
      <c r="B18" s="1"/>
      <c r="C18" s="1"/>
      <c r="D18" s="1"/>
      <c r="E18" s="1"/>
      <c r="F18" s="1"/>
      <c r="G18" s="1"/>
      <c r="I18" s="1"/>
      <c r="J18" s="1"/>
      <c r="K18" s="1"/>
      <c r="L18" s="1"/>
      <c r="M18" s="1"/>
      <c r="N18" s="1"/>
      <c r="O18" s="8">
        <f>IF(AND(A13="x",A14=""),I26/10,IF(AND(A13="",A14="x"),(I26/110)*10,""))</f>
        <v>0</v>
      </c>
    </row>
    <row r="19" spans="1:16" ht="18.75" customHeight="1" x14ac:dyDescent="0.25">
      <c r="A19" s="216" t="s">
        <v>23</v>
      </c>
      <c r="B19" s="217"/>
      <c r="C19" s="217"/>
      <c r="D19" s="217"/>
      <c r="E19" s="217"/>
      <c r="F19" s="217"/>
      <c r="G19" s="218"/>
      <c r="J19" s="16"/>
      <c r="K19" s="138" t="s">
        <v>20</v>
      </c>
      <c r="L19" s="17"/>
      <c r="M19" s="184"/>
      <c r="O19" s="10"/>
      <c r="P19" s="101"/>
    </row>
    <row r="20" spans="1:16" ht="21" customHeight="1" x14ac:dyDescent="0.25">
      <c r="A20" s="232" t="s">
        <v>35</v>
      </c>
      <c r="B20" s="233"/>
      <c r="C20" s="233"/>
      <c r="D20" s="233"/>
      <c r="E20" s="233"/>
      <c r="F20" s="233"/>
      <c r="G20" s="234"/>
      <c r="I20" s="263" t="s">
        <v>42</v>
      </c>
      <c r="J20" s="264"/>
      <c r="K20" s="264"/>
      <c r="L20" s="264"/>
      <c r="M20" s="264"/>
      <c r="N20" s="264"/>
      <c r="O20" s="265"/>
      <c r="P20" s="101"/>
    </row>
    <row r="21" spans="1:16" ht="1.5" customHeight="1" x14ac:dyDescent="0.25">
      <c r="A21" s="11"/>
      <c r="B21" s="11"/>
      <c r="C21" s="11"/>
      <c r="D21" s="11"/>
      <c r="E21" s="11"/>
      <c r="F21" s="11"/>
      <c r="G21" s="11"/>
      <c r="P21" s="101"/>
    </row>
    <row r="22" spans="1:16" ht="17.25" customHeight="1" x14ac:dyDescent="0.2">
      <c r="A22" s="246" t="s">
        <v>24</v>
      </c>
      <c r="B22" s="247"/>
      <c r="C22" s="247"/>
      <c r="D22" s="247"/>
      <c r="E22" s="247"/>
      <c r="F22" s="108"/>
      <c r="G22" s="18" t="s">
        <v>3</v>
      </c>
      <c r="H22" s="19"/>
      <c r="I22" s="209" t="s">
        <v>34</v>
      </c>
      <c r="J22" s="210"/>
      <c r="K22" s="210"/>
      <c r="L22" s="211"/>
      <c r="M22" s="185"/>
      <c r="N22" s="268" t="s">
        <v>33</v>
      </c>
      <c r="O22" s="269"/>
    </row>
    <row r="23" spans="1:16" ht="18" customHeight="1" x14ac:dyDescent="0.2">
      <c r="A23" s="298" t="s">
        <v>39</v>
      </c>
      <c r="B23" s="298"/>
      <c r="C23" s="298"/>
      <c r="D23" s="298"/>
      <c r="E23" s="298"/>
      <c r="F23" s="219" t="s">
        <v>38</v>
      </c>
      <c r="G23" s="220"/>
      <c r="H23" s="19"/>
      <c r="I23" s="215" t="str">
        <f>IF(AND(A13="x",A14=""),"Salaires BRUT versés /mois Hors Heures comp/supp",IF(AND(A13="",A14="x"),"Salaires BRUT mensualisés",""))</f>
        <v>Salaires BRUT mensualisés</v>
      </c>
      <c r="J23" s="225" t="str">
        <f>IF(AND(A13="x",A14=""),"1ère formule de Calcul (Sur salaire Brut): 11%",IF(AND(A13="",A14="x"),"Dont les congés payés inclus",""))</f>
        <v>Dont les congés payés inclus</v>
      </c>
      <c r="K23" s="225" t="str">
        <f>IF(AND(A13="x",A14=""),"Heures comp/supp-Indiquer le montant du salaire BRUT correspondant uniquement aux Heures complet/ou suppl versées/mois",IF(AND(A13="",A14="x"),"Heures comp/supp-Indiquer le montant du salaire BRUT correspondant uniquement aux Heures complet/ou suppl versées/mois",""))</f>
        <v>Heures comp/supp-Indiquer le montant du salaire BRUT correspondant uniquement aux Heures complet/ou suppl versées/mois</v>
      </c>
      <c r="L23" s="225" t="str">
        <f>IF(AND(A13="x",A14=""),"1ère formule de Calcul (Sur les heures comp/supp): 11%",IF(AND(A13="",A14="x"),"",""))</f>
        <v/>
      </c>
      <c r="M23" s="227" t="str">
        <f>IF(AND(A13="x",A14=""),"Autre formule de calcul",IF(AND(A13="",A14="x"),"Montant Congés à percevoir heures comp ou supp  à 11%",""))</f>
        <v>Montant Congés à percevoir heures comp ou supp  à 11%</v>
      </c>
      <c r="N23" s="266" t="s">
        <v>4</v>
      </c>
      <c r="O23" s="267"/>
    </row>
    <row r="24" spans="1:16" ht="80.25" customHeight="1" x14ac:dyDescent="0.2">
      <c r="A24" s="298"/>
      <c r="B24" s="298"/>
      <c r="C24" s="299"/>
      <c r="D24" s="299"/>
      <c r="E24" s="298"/>
      <c r="F24" s="221"/>
      <c r="G24" s="222"/>
      <c r="H24" s="19"/>
      <c r="I24" s="215"/>
      <c r="J24" s="226"/>
      <c r="K24" s="226"/>
      <c r="L24" s="226"/>
      <c r="M24" s="228"/>
      <c r="N24" s="266"/>
      <c r="O24" s="267"/>
    </row>
    <row r="25" spans="1:16" ht="14.25" customHeight="1" x14ac:dyDescent="0.2">
      <c r="A25" s="190" t="str">
        <f>IF(AND(J$14="oui",O91="oui"),"Poursuite sur + de 3 années-Report CP","")</f>
        <v/>
      </c>
      <c r="B25" s="191"/>
      <c r="C25" s="191"/>
      <c r="D25" s="192"/>
      <c r="E25" s="193"/>
      <c r="F25" s="207" t="str">
        <f>IF(AND(J14="oui",O91="non"),"Le -non- est activé en cellule O91,modifié en -oui-, si report des CP ","")</f>
        <v/>
      </c>
      <c r="G25" s="208"/>
      <c r="H25" s="208"/>
      <c r="I25" s="208"/>
      <c r="J25" s="208"/>
      <c r="K25" s="208"/>
      <c r="L25" s="208"/>
      <c r="M25" s="109"/>
      <c r="N25" s="134" t="s">
        <v>5</v>
      </c>
      <c r="O25" s="110"/>
    </row>
    <row r="26" spans="1:16" ht="15.75" customHeight="1" x14ac:dyDescent="0.25">
      <c r="A26" s="36" t="s">
        <v>19</v>
      </c>
      <c r="B26" s="37"/>
      <c r="C26" s="158" t="str">
        <f>IF(ISBLANK(J19),"janvier",J19)</f>
        <v>janvier</v>
      </c>
      <c r="D26" s="79"/>
      <c r="E26" s="156">
        <v>0</v>
      </c>
      <c r="F26" s="197"/>
      <c r="G26" s="198"/>
      <c r="H26" s="19"/>
      <c r="I26" s="51"/>
      <c r="J26" s="22">
        <f>IF(AND($A$13="x",$A$14=""),$I$26*11/100,IF(AND($A$13="",$A$14="x"),(($I$26/1.1)*11%),""))</f>
        <v>0</v>
      </c>
      <c r="K26" s="23"/>
      <c r="L26" s="22" t="str">
        <f>IF(AND($A$13="x",$A$14=""),$K$26*11/100,"")</f>
        <v/>
      </c>
      <c r="M26" s="24">
        <f>IF(AND($A$13="x",$A$14=""),($I$26+$K$26)/10,IF(AND($A$13="",$A$14="x"),$K$26*11/100,""))</f>
        <v>0</v>
      </c>
      <c r="N26" s="111" t="s">
        <v>6</v>
      </c>
      <c r="O26" s="25">
        <f>ROUNDUP(O25/26,2)</f>
        <v>0</v>
      </c>
      <c r="P26" s="101"/>
    </row>
    <row r="27" spans="1:16" ht="14.25" x14ac:dyDescent="0.2">
      <c r="A27" s="20" t="s">
        <v>18</v>
      </c>
      <c r="B27" s="21"/>
      <c r="C27" s="83" t="str">
        <f>IF(ISBLANK(J$19),"février",(EDATE(C26,1)))</f>
        <v>février</v>
      </c>
      <c r="D27" s="79"/>
      <c r="E27" s="86">
        <v>0</v>
      </c>
      <c r="F27" s="197"/>
      <c r="G27" s="198"/>
      <c r="H27" s="19"/>
      <c r="I27" s="51"/>
      <c r="J27" s="22">
        <f>IF(AND($A$13="x",$A$14=""),$I$27*11/100,IF(AND($A$13="",$A$14="x"),(($I$27/1.1)*11%),""))</f>
        <v>0</v>
      </c>
      <c r="K27" s="23"/>
      <c r="L27" s="22" t="str">
        <f>IF(AND($A$13="x",$A$14=""),$K$27*11/100,"")</f>
        <v/>
      </c>
      <c r="M27" s="24">
        <f>IF(AND($A$13="x",$A$14=""),($I$27+$K$27)/10,IF(AND($A$13="",$A$14="x"),$K$27*11/100,""))</f>
        <v>0</v>
      </c>
      <c r="N27" s="112" t="s">
        <v>41</v>
      </c>
      <c r="O27" s="113">
        <f>F41*O26</f>
        <v>0</v>
      </c>
    </row>
    <row r="28" spans="1:16" ht="15.75" x14ac:dyDescent="0.25">
      <c r="A28" s="20" t="s">
        <v>17</v>
      </c>
      <c r="B28" s="21"/>
      <c r="C28" s="83" t="str">
        <f>IF(ISBLANK(J$19),"mars",(EDATE(C27,1)))</f>
        <v>mars</v>
      </c>
      <c r="D28" s="79"/>
      <c r="E28" s="86">
        <v>0</v>
      </c>
      <c r="F28" s="197"/>
      <c r="G28" s="198"/>
      <c r="H28" s="19"/>
      <c r="I28" s="51"/>
      <c r="J28" s="22">
        <f>IF(AND($A$13="x",$A$14=""),$I$28*11/100,IF(AND($A$13="",$A$14="x"),(($I$28/1.1)*11%),""))</f>
        <v>0</v>
      </c>
      <c r="K28" s="23"/>
      <c r="L28" s="22" t="str">
        <f>IF(AND($A$13="x",$A$14=""),$K$28*11/100,"")</f>
        <v/>
      </c>
      <c r="M28" s="24">
        <f>IF(AND($A$13="x",$A$14=""),($I$28+$K$28)/10,IF(AND($A$13="",$A$14="x"),$K$28*11/100,""))</f>
        <v>0</v>
      </c>
      <c r="N28" s="114" t="s">
        <v>63</v>
      </c>
      <c r="O28" s="115">
        <f>(E43-E40)*O26</f>
        <v>0</v>
      </c>
      <c r="P28" s="98">
        <f>IF(AND(valeur_cp_non_pris&lt;0,O33="oui"),-valeur_cp_non_pris,0)</f>
        <v>0</v>
      </c>
    </row>
    <row r="29" spans="1:16" ht="14.25" x14ac:dyDescent="0.2">
      <c r="A29" s="20" t="s">
        <v>16</v>
      </c>
      <c r="B29" s="21"/>
      <c r="C29" s="83" t="str">
        <f>IF(ISBLANK(J$19),"avril",(EDATE(C28,1)))</f>
        <v>avril</v>
      </c>
      <c r="D29" s="79"/>
      <c r="E29" s="86">
        <v>0</v>
      </c>
      <c r="F29" s="197"/>
      <c r="G29" s="198"/>
      <c r="H29" s="19"/>
      <c r="I29" s="51"/>
      <c r="J29" s="22">
        <f>IF(AND($A$13="x",$A$14=""),$I$29*11/100,IF(AND($A$13="",$A$14="x"),(($I$29/1.1)*11%),""))</f>
        <v>0</v>
      </c>
      <c r="K29" s="23"/>
      <c r="L29" s="22" t="str">
        <f>IF(AND($A$13="x",$A$14=""),$K$29*11/100,"")</f>
        <v/>
      </c>
      <c r="M29" s="24">
        <f>IF(AND($A$13="x",$A$14=""),($I$29+$K$29)/10,IF(AND($A$13="",$A$14="x"),$K$29*11/100,""))</f>
        <v>0</v>
      </c>
      <c r="N29" s="116" t="s">
        <v>40</v>
      </c>
      <c r="O29" s="26">
        <f>F40*O26</f>
        <v>0</v>
      </c>
    </row>
    <row r="30" spans="1:16" ht="14.25" x14ac:dyDescent="0.2">
      <c r="A30" s="20" t="s">
        <v>15</v>
      </c>
      <c r="B30" s="21"/>
      <c r="C30" s="83" t="str">
        <f>IF(ISBLANK(J$19),"mai",(EDATE(C29,1)))</f>
        <v>mai</v>
      </c>
      <c r="D30" s="79"/>
      <c r="E30" s="86">
        <v>0</v>
      </c>
      <c r="F30" s="197"/>
      <c r="G30" s="198"/>
      <c r="H30" s="19"/>
      <c r="I30" s="51"/>
      <c r="J30" s="22">
        <f>IF(AND($A$13="x",$A$14=""),$I$30*11/100,IF(AND($A$13="",$A$14="x"),(($I$30/1.1)*11%),""))</f>
        <v>0</v>
      </c>
      <c r="K30" s="23"/>
      <c r="L30" s="22" t="str">
        <f>IF(AND($A$13="x",$A$14=""),$K$30*11/100,"")</f>
        <v/>
      </c>
      <c r="M30" s="24">
        <f>IF(AND($A$13="x",$A$14=""),($I$30+$K$30)/10,IF(AND($A$13="",$A$14="x"),$K$30*11/100,""))</f>
        <v>0</v>
      </c>
      <c r="N30" s="128"/>
      <c r="O30" s="129"/>
    </row>
    <row r="31" spans="1:16" ht="14.25" x14ac:dyDescent="0.2">
      <c r="A31" s="20" t="s">
        <v>14</v>
      </c>
      <c r="B31" s="21"/>
      <c r="C31" s="83" t="str">
        <f>IF(ISBLANK(J$19),"juin",(EDATE(C30,1)))</f>
        <v>juin</v>
      </c>
      <c r="D31" s="79"/>
      <c r="E31" s="86">
        <v>0</v>
      </c>
      <c r="F31" s="197"/>
      <c r="G31" s="198"/>
      <c r="H31" s="19"/>
      <c r="I31" s="51"/>
      <c r="J31" s="22">
        <f>IF(AND($A$13="x",$A$14=""),$I$31*11/100,IF(AND($A$13="",$A$14="x"),(($I$31/1.1)*11%),""))</f>
        <v>0</v>
      </c>
      <c r="K31" s="23"/>
      <c r="L31" s="22" t="str">
        <f>IF(AND($A$13="x",$A$14=""),$K$31*11/100,"")</f>
        <v/>
      </c>
      <c r="M31" s="24">
        <f>IF(AND($A$13="x",$A$14=""),($I$31+$K$31)/10,IF(AND($A$13="",$A$14="x"),$K$31*11/100,""))</f>
        <v>0</v>
      </c>
      <c r="N31" s="119" t="s">
        <v>65</v>
      </c>
      <c r="O31" s="117">
        <f>IF(P32&lt;=0,0,(total_cp_acquis-valeur_cp_pris)+(valeur_cp_pris-O32))</f>
        <v>0</v>
      </c>
    </row>
    <row r="32" spans="1:16" ht="14.25" x14ac:dyDescent="0.2">
      <c r="A32" s="20" t="s">
        <v>13</v>
      </c>
      <c r="B32" s="21"/>
      <c r="C32" s="83" t="str">
        <f>IF(ISBLANK(J$19),"juillet",(EDATE(C31,1)))</f>
        <v>juillet</v>
      </c>
      <c r="D32" s="79"/>
      <c r="E32" s="86">
        <v>0</v>
      </c>
      <c r="F32" s="197"/>
      <c r="G32" s="198"/>
      <c r="H32" s="19"/>
      <c r="I32" s="51"/>
      <c r="J32" s="22">
        <f>IF(AND($A$13="x",$A$14=""),$I$32*11/100,IF(AND($A$13="",$A$14="x"),(($I$32/1.1)*11%),""))</f>
        <v>0</v>
      </c>
      <c r="K32" s="23"/>
      <c r="L32" s="22" t="str">
        <f>IF(AND($A$13="x",$A$14=""),$K$32*11/100,"")</f>
        <v/>
      </c>
      <c r="M32" s="24">
        <f>IF(AND($A$13="x",$A$14=""),($I$32+$K$32)/10,IF(AND($A$13="",$A$14="x"),$K$32*11/100,""))</f>
        <v>0</v>
      </c>
      <c r="N32" s="120" t="s">
        <v>64</v>
      </c>
      <c r="O32" s="118">
        <f>IF(total_cp_10_cent&gt;K40,total_cp_10_cent,K40)</f>
        <v>0</v>
      </c>
      <c r="P32" s="102">
        <f>(total_cp_acquis-valeur_cp_pris)+(valeur_cp_pris-total_cp_10_cent)</f>
        <v>0</v>
      </c>
    </row>
    <row r="33" spans="1:16" ht="15.75" x14ac:dyDescent="0.2">
      <c r="A33" s="20" t="s">
        <v>12</v>
      </c>
      <c r="B33" s="21"/>
      <c r="C33" s="83" t="str">
        <f>IF(ISBLANK(J$19),"aout",(EDATE(C32,1)))</f>
        <v>aout</v>
      </c>
      <c r="D33" s="79"/>
      <c r="E33" s="86">
        <v>0</v>
      </c>
      <c r="F33" s="197"/>
      <c r="G33" s="198"/>
      <c r="H33" s="19"/>
      <c r="I33" s="51"/>
      <c r="J33" s="22">
        <f>IF(AND($A$13="x",$A$14=""),$I$33*11/100,IF(AND($A$13="",$A$14="x"),(($I$33/1.1)*11%),""))</f>
        <v>0</v>
      </c>
      <c r="K33" s="23"/>
      <c r="L33" s="22" t="str">
        <f>IF(AND($A$13="x",$A$14=""),$K$33*11/100,"")</f>
        <v/>
      </c>
      <c r="M33" s="24">
        <f>IF(AND($A$13="x",$A$14=""),($I$33+$K$33)/10,IF(AND($A$13="",$A$14="x"),$K$33*11/100,""))</f>
        <v>0</v>
      </c>
      <c r="N33" s="130" t="s">
        <v>45</v>
      </c>
      <c r="O33" s="28" t="s">
        <v>2</v>
      </c>
    </row>
    <row r="34" spans="1:16" ht="14.25" x14ac:dyDescent="0.2">
      <c r="A34" s="20" t="s">
        <v>11</v>
      </c>
      <c r="B34" s="21"/>
      <c r="C34" s="83" t="str">
        <f>IF(ISBLANK(J$19),"septembre",(EDATE(C33,1)))</f>
        <v>septembre</v>
      </c>
      <c r="D34" s="79"/>
      <c r="E34" s="86">
        <v>0</v>
      </c>
      <c r="F34" s="197"/>
      <c r="G34" s="198"/>
      <c r="H34" s="19"/>
      <c r="I34" s="51"/>
      <c r="J34" s="22">
        <f>IF(AND($A$13="x",$A$14=""),$I$34*11/100,IF(AND($A$13="",$A$14="x"),(($I$34/1.1)*11%),""))</f>
        <v>0</v>
      </c>
      <c r="K34" s="23"/>
      <c r="L34" s="22" t="str">
        <f>IF(AND($A$13="x",$A$14=""),$K$34*11/100,"")</f>
        <v/>
      </c>
      <c r="M34" s="24">
        <f>IF(AND($A$13="x",$A$14=""),($I$34+$K$34)/10,IF(AND($A$13="",$A$14="x"),$K$34*11/100,""))</f>
        <v>0</v>
      </c>
      <c r="N34" s="131"/>
    </row>
    <row r="35" spans="1:16" ht="14.25" customHeight="1" x14ac:dyDescent="0.2">
      <c r="A35" s="20" t="s">
        <v>8</v>
      </c>
      <c r="B35" s="21"/>
      <c r="C35" s="83" t="str">
        <f>IF(ISBLANK(J$19),"octobre",(EDATE(C34,1)))</f>
        <v>octobre</v>
      </c>
      <c r="D35" s="79"/>
      <c r="E35" s="86">
        <v>0</v>
      </c>
      <c r="F35" s="197"/>
      <c r="G35" s="198"/>
      <c r="H35" s="19"/>
      <c r="I35" s="51"/>
      <c r="J35" s="22">
        <f>IF(AND($A$13="x",$A$14=""),$I$35*11/100,IF(AND($A$13="",$A$14="x"),(($I$35/1.1)*11%),""))</f>
        <v>0</v>
      </c>
      <c r="K35" s="23"/>
      <c r="L35" s="22" t="str">
        <f>IF(AND($A$13="x",$A$14=""),$K$35*11/100,"")</f>
        <v/>
      </c>
      <c r="M35" s="24">
        <f>IF(AND($A$13="x",$A$14=""),($I$35+$K$35)/10,IF(AND($A$13="",$A$14="x"),$K$35*11/100,""))</f>
        <v>0</v>
      </c>
      <c r="N35" s="132"/>
      <c r="O35" s="19"/>
      <c r="P35" s="103"/>
    </row>
    <row r="36" spans="1:16" ht="15" x14ac:dyDescent="0.25">
      <c r="A36" s="20" t="s">
        <v>9</v>
      </c>
      <c r="B36" s="21"/>
      <c r="C36" s="83" t="str">
        <f>IF(ISBLANK(J$19),"novembre",(EDATE(C35,1)))</f>
        <v>novembre</v>
      </c>
      <c r="D36" s="79"/>
      <c r="E36" s="86">
        <v>0</v>
      </c>
      <c r="F36" s="197"/>
      <c r="G36" s="198"/>
      <c r="H36" s="19"/>
      <c r="I36" s="51"/>
      <c r="J36" s="22">
        <f>IF(AND($A$13="x",$A$14=""),$I$36*11/100,IF(AND($A$13="",$A$14="x"),(($I$36/1.1)*11%),""))</f>
        <v>0</v>
      </c>
      <c r="K36" s="23"/>
      <c r="L36" s="22" t="str">
        <f>IF(AND($A$13="x",$A$14=""),$K$36*11/100,"")</f>
        <v/>
      </c>
      <c r="M36" s="24">
        <f>IF(AND($A$13="x",$A$14=""),($I$36+$K$36)/10,IF(AND($A$13="",$A$14="x"),$K$36*11/100,""))</f>
        <v>0</v>
      </c>
      <c r="N36" s="213" t="s">
        <v>43</v>
      </c>
      <c r="O36" s="214"/>
      <c r="P36" s="101"/>
    </row>
    <row r="37" spans="1:16" ht="14.25" x14ac:dyDescent="0.2">
      <c r="A37" s="30" t="s">
        <v>10</v>
      </c>
      <c r="B37" s="31"/>
      <c r="C37" s="83" t="str">
        <f>IF(ISBLANK(J$19),"décembre",(EDATE(C36,1)))</f>
        <v>décembre</v>
      </c>
      <c r="D37" s="84"/>
      <c r="E37" s="87">
        <v>0</v>
      </c>
      <c r="F37" s="197"/>
      <c r="G37" s="198"/>
      <c r="H37" s="19"/>
      <c r="I37" s="51"/>
      <c r="J37" s="22">
        <f>IF(AND($A$13="x",$A$14=""),$I$37*11/100,IF(AND($A$13="",$A$14="x"),(($I$37/1.1)*11%),""))</f>
        <v>0</v>
      </c>
      <c r="K37" s="33"/>
      <c r="L37" s="22" t="str">
        <f>IF(AND($A$13="x",$A$14=""),$K$37*11/100,"")</f>
        <v/>
      </c>
      <c r="M37" s="24">
        <f>IF(AND($A$13="x",$A$14=""),($I$37+$K$37)/10,IF(AND($A$13="",$A$14="x"),$K$37*11/100,""))</f>
        <v>0</v>
      </c>
      <c r="N37" s="213" t="s">
        <v>44</v>
      </c>
      <c r="O37" s="214"/>
    </row>
    <row r="38" spans="1:16" ht="15" customHeight="1" x14ac:dyDescent="0.2">
      <c r="A38" s="254" t="str">
        <f>IF(AND(A13="x",A14=""),"Régularisation Congés payés fin d'année de référence  (Autre formule 10% sur CP)",IF(AND(A13="",A14="x"),"Total des Cp inclus + total CP Hrs comp/sup (cellule I)",""))</f>
        <v>Total des Cp inclus + total CP Hrs comp/sup (cellule I)</v>
      </c>
      <c r="B38" s="255"/>
      <c r="C38" s="255"/>
      <c r="D38" s="255"/>
      <c r="E38" s="255"/>
      <c r="F38" s="255"/>
      <c r="G38" s="255"/>
      <c r="H38" s="255"/>
      <c r="I38" s="255"/>
      <c r="J38" s="72">
        <f>IF(AND($A$13="x",$A$14=""),"",IF(AND($A$13="",$A$14="x"),($J$26+$J$27+$J$28+$J$29+$J$30+$J$31+$J$32+$J$33+$J$34+$J$35+$J$36+$J$37),""))</f>
        <v>0</v>
      </c>
      <c r="K38" s="34" t="str">
        <f>IF(AND($A$13="x",$A$14=""),"",IF(AND($A$13="",$A$14="x"),"Total CP= Hrs Comp/Supp",""))</f>
        <v>Total CP= Hrs Comp/Supp</v>
      </c>
      <c r="L38" s="34"/>
      <c r="M38" s="35">
        <f>IF(AND($A$13="x",$A$14=""),($M$26+$M$27+$M$28+$M$29+$M$30+$M$31+$M$32+$M$33+$M$34+$M$35+$M$36+$M$37)/10,IF(AND($A$13="",$A$14="x"),$M$26+$M$27+$M$28+$M$29+$M$30+$M$31+$M$32+$M$33+$M$34+$M$35+$M$36+$M$37,""))</f>
        <v>0</v>
      </c>
      <c r="N38" s="261" t="s">
        <v>66</v>
      </c>
      <c r="O38" s="277">
        <f>IF(AND(O33="oui",valeur_cp_non_pris&gt;0),O31,IF(AND(O33="non",valeur_cp_non_pris&lt;0),O31,valeur_cp_non_pris+O31))+IF(AND(valeur_cp_non_pris&lt;0,O33="oui"),O31,0)</f>
        <v>0</v>
      </c>
      <c r="P38" s="270"/>
    </row>
    <row r="39" spans="1:16" ht="15" customHeight="1" x14ac:dyDescent="0.2">
      <c r="A39" s="257" t="s">
        <v>78</v>
      </c>
      <c r="B39" s="258"/>
      <c r="C39" s="258"/>
      <c r="D39" s="259"/>
      <c r="E39" s="165">
        <f>'Explication déduction CP'!K27+'Explication déduction CP'!K50</f>
        <v>0</v>
      </c>
      <c r="G39" s="122"/>
      <c r="N39" s="261"/>
      <c r="O39" s="277"/>
      <c r="P39" s="270"/>
    </row>
    <row r="40" spans="1:16" ht="14.25" customHeight="1" x14ac:dyDescent="0.2">
      <c r="A40" s="160" t="s">
        <v>45</v>
      </c>
      <c r="B40" s="161"/>
      <c r="C40" s="170"/>
      <c r="D40" s="170"/>
      <c r="E40" s="166">
        <f>IF(calcul_cp!$O$91="OUI",calcul_cp!$F$99,0)</f>
        <v>0</v>
      </c>
      <c r="F40" s="167">
        <f xml:space="preserve"> SUM(F26:G37)</f>
        <v>0</v>
      </c>
      <c r="G40" s="168" t="s">
        <v>67</v>
      </c>
      <c r="H40" s="38" t="str">
        <f>G40</f>
        <v>CP pris</v>
      </c>
      <c r="I40" s="240" t="s">
        <v>37</v>
      </c>
      <c r="J40" s="288">
        <f>IF(AND($A$13="x",$A$14=""),($J$26+$J$27+$J$28+$J$29+$J$30+$J$31+$J$32+$J$33+$J$34+$J$35+$J$36+$J$37+$L$26+$L$27+$L$28+$L$29+$L$30+$L$31+$L$32+$L$33+$L$34+$L$35+$L$36+$L$37),IF(AND($A$13="",$A$14="x"),ROUNDUP($J$38+$M$38,2),""))</f>
        <v>0</v>
      </c>
      <c r="K40" s="241">
        <f>IF(AND($A$13="x",$A$14=""),($J$26+$J$27+$J$28+$J$29+$J$30+$J$31+$J$32+$J$33+$J$34+$J$35+$J$36+$J$37),IF(AND($A$13="",$A$14="x"),ROUNDUP($J$38+$M$38,2),""))</f>
        <v>0</v>
      </c>
      <c r="M40" s="250" t="str">
        <f>IF(AND(A13="x",A14=""),($M$26+$M$27+$M$28+$M$29+$M$30+$M$31+$M$32+$M$33+$M$34+$M$35+M36+M37+M38),IF(AND(A13="",A14="x"),"",""))</f>
        <v/>
      </c>
      <c r="N40" s="261"/>
      <c r="O40" s="271" t="str">
        <f>IF(AND(F$41&lt;0,O33="oui"),"Report sur l'année suivante",IF(AND(F$41&lt;0,O33="non"),-valeur_cp_non_pris,""))</f>
        <v/>
      </c>
      <c r="P40" s="270"/>
    </row>
    <row r="41" spans="1:16" ht="14.25" x14ac:dyDescent="0.2">
      <c r="A41" s="223" t="s">
        <v>21</v>
      </c>
      <c r="B41" s="224"/>
      <c r="C41" s="170">
        <f>SUM(E26:E37)</f>
        <v>0</v>
      </c>
      <c r="D41" s="170">
        <f>IF(C41&gt;29,30,IF(C41&gt;30,30,C41))</f>
        <v>0</v>
      </c>
      <c r="E41" s="40">
        <f>IF(ISBLANK(E39),(ROUNDUP(D41,2)),(ROUNDUP((D41-E39),0)))</f>
        <v>0</v>
      </c>
      <c r="F41" s="147">
        <f>E43-F40</f>
        <v>0</v>
      </c>
      <c r="G41" s="145" t="str">
        <f>IF(F41&lt;0,"CP-NON-acquis","Reste à prendre")</f>
        <v>Reste à prendre</v>
      </c>
      <c r="H41" s="19">
        <f>IF(AND($A$13="x",$A$14=""),(((J26+J27+J28+J29+J30+J31+J32+J33+J34+J35+J36+J37)/10)+(J26+J27+J28+J29+J30+J31+J32+J33+J34+J35+J36+J37)),IF(AND($A$13="",$A$14="x"),(J26+J27+J28+J29+J30+J31+J32+J33+J34+J35+J36+J37),""))</f>
        <v>0</v>
      </c>
      <c r="I41" s="240"/>
      <c r="J41" s="288"/>
      <c r="K41" s="241"/>
      <c r="M41" s="251"/>
      <c r="N41" s="281" t="str">
        <f>IF(AND($F$41&lt;0,valeur_cp_non_pris&lt;0,O33="non"),"Remboursement trop perçu à l'employeur (régularisation plus favorable reste due) ","")</f>
        <v/>
      </c>
      <c r="O41" s="271"/>
      <c r="P41" s="270"/>
    </row>
    <row r="42" spans="1:16" ht="14.25" x14ac:dyDescent="0.2">
      <c r="A42" s="162" t="s">
        <v>7</v>
      </c>
      <c r="B42" s="163"/>
      <c r="C42" s="164"/>
      <c r="D42" s="164"/>
      <c r="E42" s="76"/>
      <c r="H42" s="19"/>
      <c r="I42" s="41"/>
      <c r="J42" s="97"/>
      <c r="K42" s="97"/>
      <c r="L42" s="97"/>
      <c r="M42" s="97"/>
      <c r="N42" s="282"/>
      <c r="O42" s="272"/>
      <c r="P42" s="104"/>
    </row>
    <row r="43" spans="1:16" ht="14.25" x14ac:dyDescent="0.2">
      <c r="A43" s="204" t="s">
        <v>75</v>
      </c>
      <c r="B43" s="205"/>
      <c r="C43" s="205"/>
      <c r="D43" s="206"/>
      <c r="E43" s="169">
        <f>IF($E$41&gt;30,30,IF($E$41+$E$42&gt;32,32,$E$41+$E$42))+$E$40</f>
        <v>0</v>
      </c>
      <c r="H43" s="19"/>
      <c r="I43" s="249" t="s">
        <v>62</v>
      </c>
      <c r="J43" s="249"/>
      <c r="K43" s="249"/>
      <c r="L43" s="249"/>
      <c r="M43" s="249"/>
      <c r="N43" s="249"/>
      <c r="O43" s="249"/>
      <c r="P43" s="105"/>
    </row>
    <row r="44" spans="1:16" ht="7.5" customHeight="1" x14ac:dyDescent="0.25">
      <c r="I44" s="1"/>
      <c r="J44" s="5"/>
      <c r="K44" s="1"/>
      <c r="L44" s="1"/>
      <c r="M44" s="1"/>
      <c r="N44" s="1"/>
      <c r="O44" s="1"/>
      <c r="P44" s="101"/>
    </row>
    <row r="45" spans="1:16" ht="5.25" customHeight="1" x14ac:dyDescent="0.25">
      <c r="A45" s="12"/>
      <c r="B45" s="12"/>
      <c r="C45" s="12"/>
      <c r="D45" s="12"/>
      <c r="E45" s="12"/>
      <c r="F45" s="12"/>
      <c r="G45" s="13"/>
      <c r="I45" s="1"/>
      <c r="J45" s="1"/>
      <c r="K45" s="1"/>
      <c r="L45" s="1"/>
      <c r="M45" s="1"/>
      <c r="N45" s="1"/>
      <c r="O45" s="1"/>
      <c r="P45" s="106"/>
    </row>
    <row r="46" spans="1:16" ht="18.75" customHeight="1" x14ac:dyDescent="0.2">
      <c r="A46" s="216" t="s">
        <v>28</v>
      </c>
      <c r="B46" s="217"/>
      <c r="C46" s="217"/>
      <c r="D46" s="217"/>
      <c r="E46" s="217"/>
      <c r="F46" s="217"/>
      <c r="G46" s="218"/>
      <c r="H46" s="19"/>
      <c r="J46" s="42"/>
      <c r="K46" s="155" t="s">
        <v>20</v>
      </c>
      <c r="L46" s="42"/>
      <c r="M46" s="135"/>
      <c r="O46" s="19"/>
    </row>
    <row r="47" spans="1:16" ht="6.75" customHeight="1" x14ac:dyDescent="0.2">
      <c r="A47" s="43"/>
      <c r="B47" s="43"/>
      <c r="C47" s="43"/>
      <c r="D47" s="43"/>
      <c r="E47" s="43"/>
      <c r="F47" s="43"/>
      <c r="G47" s="43"/>
      <c r="H47" s="19"/>
      <c r="I47" s="19"/>
      <c r="J47" s="19"/>
      <c r="K47" s="19"/>
      <c r="L47" s="19"/>
      <c r="M47" s="19"/>
      <c r="N47" s="19"/>
      <c r="O47" s="19"/>
    </row>
    <row r="48" spans="1:16" ht="21" customHeight="1" x14ac:dyDescent="0.2">
      <c r="A48" s="300" t="s">
        <v>35</v>
      </c>
      <c r="B48" s="301"/>
      <c r="C48" s="301"/>
      <c r="D48" s="301"/>
      <c r="E48" s="301"/>
      <c r="F48" s="301"/>
      <c r="G48" s="302"/>
      <c r="H48" s="19"/>
      <c r="I48" s="263" t="s">
        <v>36</v>
      </c>
      <c r="J48" s="264"/>
      <c r="K48" s="264"/>
      <c r="L48" s="264"/>
      <c r="M48" s="264"/>
      <c r="N48" s="264"/>
      <c r="O48" s="265"/>
    </row>
    <row r="49" spans="1:16" ht="18.75" hidden="1" customHeight="1" x14ac:dyDescent="0.2">
      <c r="A49" s="19"/>
      <c r="B49" s="19"/>
      <c r="C49" s="19"/>
      <c r="D49" s="19"/>
      <c r="E49" s="19"/>
      <c r="F49" s="19"/>
      <c r="G49" s="19"/>
      <c r="H49" s="19"/>
      <c r="I49" s="19"/>
      <c r="J49" s="44">
        <f>SUMPRODUCT(J54:J66)</f>
        <v>0</v>
      </c>
      <c r="K49" s="19"/>
      <c r="L49" s="45" t="e">
        <f>(((L54+L55+L56+L57+L58+L59+L60+L61+L62+L63+L64+L65+L66)/10)+(L54+L55+L56+L57+L58+L59+L60+L61+L62+L63+L64+L65+L66))</f>
        <v>#VALUE!</v>
      </c>
      <c r="M49" s="139"/>
      <c r="N49" s="19"/>
      <c r="O49" s="19"/>
    </row>
    <row r="50" spans="1:16" ht="2.25" customHeight="1" x14ac:dyDescent="0.2">
      <c r="A50" s="43"/>
      <c r="B50" s="43"/>
      <c r="C50" s="43"/>
      <c r="D50" s="43"/>
      <c r="E50" s="43"/>
      <c r="F50" s="43"/>
      <c r="G50" s="43"/>
      <c r="H50" s="19"/>
      <c r="I50" s="19"/>
      <c r="J50" s="44"/>
      <c r="K50" s="19"/>
      <c r="L50" s="46"/>
      <c r="M50" s="46"/>
      <c r="N50" s="19"/>
      <c r="O50" s="19"/>
    </row>
    <row r="51" spans="1:16" ht="20.25" customHeight="1" x14ac:dyDescent="0.25">
      <c r="A51" s="246" t="s">
        <v>24</v>
      </c>
      <c r="B51" s="247"/>
      <c r="C51" s="247"/>
      <c r="D51" s="247"/>
      <c r="E51" s="247"/>
      <c r="F51" s="108"/>
      <c r="G51" s="18" t="s">
        <v>2</v>
      </c>
      <c r="H51" s="19"/>
      <c r="I51" s="209" t="s">
        <v>34</v>
      </c>
      <c r="J51" s="210"/>
      <c r="K51" s="210"/>
      <c r="L51" s="211"/>
      <c r="M51" s="136"/>
      <c r="N51" s="289" t="s">
        <v>33</v>
      </c>
      <c r="O51" s="269"/>
      <c r="P51" s="101"/>
    </row>
    <row r="52" spans="1:16" ht="17.25" customHeight="1" x14ac:dyDescent="0.25">
      <c r="A52" s="298" t="s">
        <v>1</v>
      </c>
      <c r="B52" s="298"/>
      <c r="C52" s="298"/>
      <c r="D52" s="298"/>
      <c r="E52" s="298"/>
      <c r="F52" s="219" t="s">
        <v>0</v>
      </c>
      <c r="G52" s="220"/>
      <c r="H52" s="19"/>
      <c r="I52" s="215" t="str">
        <f>IF(AND(A13="x",A14=""),"Salaires BRUT versés /mois Hors Heures comp/supp",IF(AND(A13="",A14="x"),"Salaires BRUT mensualisés",""))</f>
        <v>Salaires BRUT mensualisés</v>
      </c>
      <c r="J52" s="225" t="str">
        <f>IF(AND(A13="x",A14=""),"1ère formule de Calcul (Sur salaire Brut): 11%",IF(AND(A13="",A14="x"),"Dont les congés payés inclus",""))</f>
        <v>Dont les congés payés inclus</v>
      </c>
      <c r="K52" s="225" t="str">
        <f>IF(AND(A13="x",A14=""),"Heures comp/supp-Indiquer le montant du salaire BRUT correspondant uniquement aux Heures complet/ou suppl versées/mois",IF(AND(A13="",A14="x"),"Heures comp/supp-Indiquer le montant du salaire BRUT correspondant uniquement aux Heures complet/ou suppl versées/mois",""))</f>
        <v>Heures comp/supp-Indiquer le montant du salaire BRUT correspondant uniquement aux Heures complet/ou suppl versées/mois</v>
      </c>
      <c r="L52" s="225" t="str">
        <f>IF(AND(A13="x",A14=""),"1ère formule de Calcul (Sur les heures comp/supp): 11%",IF(AND(A13="",A14="x"),"",""))</f>
        <v/>
      </c>
      <c r="M52" s="227" t="str">
        <f>IF(AND(A13="x",A14=""),"Autre formule de calcul",IF(AND(A13="",A14="x"),"Montant Congés à percevoir heures comp ou supp  à 11%",""))</f>
        <v>Montant Congés à percevoir heures comp ou supp  à 11%</v>
      </c>
      <c r="N52" s="266" t="s">
        <v>26</v>
      </c>
      <c r="O52" s="267"/>
      <c r="P52" s="101"/>
    </row>
    <row r="53" spans="1:16" ht="80.25" customHeight="1" x14ac:dyDescent="0.2">
      <c r="A53" s="298"/>
      <c r="B53" s="298"/>
      <c r="C53" s="298"/>
      <c r="D53" s="298"/>
      <c r="E53" s="298"/>
      <c r="F53" s="221"/>
      <c r="G53" s="222"/>
      <c r="H53" s="19"/>
      <c r="I53" s="215"/>
      <c r="J53" s="226"/>
      <c r="K53" s="226"/>
      <c r="L53" s="226"/>
      <c r="M53" s="228"/>
      <c r="N53" s="266"/>
      <c r="O53" s="267"/>
    </row>
    <row r="54" spans="1:16" ht="16.5" customHeight="1" x14ac:dyDescent="0.25">
      <c r="A54" s="303" t="str">
        <f>IF($O$33="OUI","Report année précédente","")</f>
        <v>Report année précédente</v>
      </c>
      <c r="B54" s="304"/>
      <c r="C54" s="304"/>
      <c r="D54" s="157"/>
      <c r="E54" s="47">
        <f>IF($O$33="OUI",$F$41,0)</f>
        <v>0</v>
      </c>
      <c r="F54" s="278"/>
      <c r="G54" s="279"/>
      <c r="H54" s="19"/>
      <c r="I54" s="159"/>
      <c r="J54" s="48"/>
      <c r="K54" s="48"/>
      <c r="L54" s="49"/>
      <c r="M54" s="140"/>
      <c r="N54" s="148" t="s">
        <v>5</v>
      </c>
      <c r="O54" s="110"/>
      <c r="P54" s="101"/>
    </row>
    <row r="55" spans="1:16" ht="15.75" customHeight="1" x14ac:dyDescent="0.2">
      <c r="A55" s="36" t="s">
        <v>19</v>
      </c>
      <c r="B55" s="37"/>
      <c r="C55" s="158" t="str">
        <f>IF(ISBLANK(J46),"janvier",J46)</f>
        <v>janvier</v>
      </c>
      <c r="D55" s="50"/>
      <c r="E55" s="156">
        <v>0</v>
      </c>
      <c r="F55" s="197"/>
      <c r="G55" s="198"/>
      <c r="H55" s="19"/>
      <c r="I55" s="51"/>
      <c r="J55" s="22">
        <f>IF(AND($A$13="x",$A$14=""),$I$55*11/100,IF(AND($A$13="",$A$14="x"),(($I$55/1.1)*11%),""))</f>
        <v>0</v>
      </c>
      <c r="K55" s="180"/>
      <c r="L55" s="52" t="str">
        <f>IF(AND($A$13="x",$A$14=""),$K$55*11/100,"")</f>
        <v/>
      </c>
      <c r="M55" s="141">
        <f>IF(AND($A$13="x",$A$14=""),($I$55+$K$55)/10,IF(AND($A$13="",$A$14="x"),$K$55*11/100,""))</f>
        <v>0</v>
      </c>
      <c r="N55" s="149" t="s">
        <v>6</v>
      </c>
      <c r="O55" s="25">
        <f>ROUNDUP(O54/26,2)</f>
        <v>0</v>
      </c>
    </row>
    <row r="56" spans="1:16" ht="14.25" customHeight="1" x14ac:dyDescent="0.2">
      <c r="A56" s="20" t="s">
        <v>18</v>
      </c>
      <c r="B56" s="21"/>
      <c r="C56" s="83" t="str">
        <f>IF(ISBLANK(J46),"février",(EDATE(C55,1)))</f>
        <v>février</v>
      </c>
      <c r="D56" s="50"/>
      <c r="E56" s="86">
        <v>0</v>
      </c>
      <c r="F56" s="197"/>
      <c r="G56" s="198"/>
      <c r="H56" s="19"/>
      <c r="I56" s="51"/>
      <c r="J56" s="22">
        <f>IF(AND($A$13="x",$A$14=""),$I$56*11/100,IF(AND($A$13="",$A$14="x"),(($I$56/1.1)*11%),""))</f>
        <v>0</v>
      </c>
      <c r="K56" s="180"/>
      <c r="L56" s="52" t="str">
        <f>IF(AND($A$13="x",$A$14=""),$K$56*11/100,"")</f>
        <v/>
      </c>
      <c r="M56" s="141">
        <f>IF(AND($A$13="x",$A$14=""),($I$56+$K$56)/10,IF(AND($A$13="",$A$14="x"),$K$56*11/100,""))</f>
        <v>0</v>
      </c>
      <c r="N56" s="150" t="s">
        <v>41</v>
      </c>
      <c r="O56" s="113">
        <f>F70*O55</f>
        <v>0</v>
      </c>
      <c r="P56" s="98">
        <f>IF(AND(valeur_cp_non_prisb&lt;0,O62="oui"),-valeur_cp_non_prisb,0)</f>
        <v>0</v>
      </c>
    </row>
    <row r="57" spans="1:16" ht="15.75" x14ac:dyDescent="0.25">
      <c r="A57" s="20" t="s">
        <v>17</v>
      </c>
      <c r="B57" s="21"/>
      <c r="C57" s="83" t="str">
        <f>IF(ISBLANK(J46),"mars",(EDATE(C56,1)))</f>
        <v>mars</v>
      </c>
      <c r="D57" s="50"/>
      <c r="E57" s="86">
        <v>0</v>
      </c>
      <c r="F57" s="197"/>
      <c r="G57" s="198"/>
      <c r="H57" s="19"/>
      <c r="I57" s="51"/>
      <c r="J57" s="22">
        <f>IF(AND($A$13="x",$A$14=""),$I$57*11/100,IF(AND($A$13="",$A$14="x"),(($I$57/1.1)*11%),""))</f>
        <v>0</v>
      </c>
      <c r="K57" s="180"/>
      <c r="L57" s="52" t="str">
        <f>IF(AND($A$13="x",$A$14=""),$K$57*11/100,"")</f>
        <v/>
      </c>
      <c r="M57" s="141">
        <f>IF(AND($A$13="x",$A$14=""),($I$57+$K$57)/10,IF(AND($A$13="",$A$14="x"),$K$57*11/100,""))</f>
        <v>0</v>
      </c>
      <c r="N57" s="151" t="s">
        <v>63</v>
      </c>
      <c r="O57" s="115">
        <f>(E72-E54)*O55</f>
        <v>0</v>
      </c>
    </row>
    <row r="58" spans="1:16" ht="14.25" x14ac:dyDescent="0.2">
      <c r="A58" s="20" t="s">
        <v>16</v>
      </c>
      <c r="B58" s="21"/>
      <c r="C58" s="83" t="str">
        <f>IF(ISBLANK(J46),"avril",(EDATE(C57,1)))</f>
        <v>avril</v>
      </c>
      <c r="D58" s="50"/>
      <c r="E58" s="86">
        <v>0</v>
      </c>
      <c r="F58" s="197"/>
      <c r="G58" s="198"/>
      <c r="H58" s="19"/>
      <c r="I58" s="51"/>
      <c r="J58" s="22">
        <f>IF(AND($A$13="x",$A$14=""),$I$58*11/100,IF(AND($A$13="",$A$14="x"),(($I$58/1.1)*11%),""))</f>
        <v>0</v>
      </c>
      <c r="K58" s="180"/>
      <c r="L58" s="52" t="str">
        <f>IF(AND($A$13="x",$A$14=""),$K$58*11/100,"")</f>
        <v/>
      </c>
      <c r="M58" s="141">
        <f>IF(AND($A$13="x",$A$14=""),($I$58+$K$58)/10,IF(AND($A$13="",$A$14="x"),$K$58*11/100,""))</f>
        <v>0</v>
      </c>
      <c r="N58" s="152" t="s">
        <v>40</v>
      </c>
      <c r="O58" s="26">
        <f>F69*O55</f>
        <v>0</v>
      </c>
    </row>
    <row r="59" spans="1:16" ht="14.25" x14ac:dyDescent="0.2">
      <c r="A59" s="20" t="s">
        <v>15</v>
      </c>
      <c r="B59" s="21"/>
      <c r="C59" s="83" t="str">
        <f>IF(ISBLANK(J46),"mai",(EDATE(C58,1)))</f>
        <v>mai</v>
      </c>
      <c r="D59" s="50"/>
      <c r="E59" s="86">
        <v>0</v>
      </c>
      <c r="F59" s="197"/>
      <c r="G59" s="198"/>
      <c r="H59" s="19"/>
      <c r="I59" s="51"/>
      <c r="J59" s="22">
        <f>IF(AND($A$13="x",$A$14=""),$I$59*11/100,IF(AND($A$13="",$A$14="x"),(($I$59/1.1)*11%),""))</f>
        <v>0</v>
      </c>
      <c r="K59" s="180"/>
      <c r="L59" s="52" t="str">
        <f>IF(AND($A$13="x",$A$14=""),$K$59*11/100,"")</f>
        <v/>
      </c>
      <c r="M59" s="141">
        <f>IF(AND($A$13="x",$A$14=""),($I$59+$K$59)/10,IF(AND($A$13="",$A$14="x"),$K$59*11/100,""))</f>
        <v>0</v>
      </c>
      <c r="N59" s="275"/>
      <c r="O59" s="276"/>
    </row>
    <row r="60" spans="1:16" ht="14.25" x14ac:dyDescent="0.2">
      <c r="A60" s="20" t="s">
        <v>14</v>
      </c>
      <c r="B60" s="21"/>
      <c r="C60" s="83" t="str">
        <f>IF(ISBLANK(J46),"juin",(EDATE(C59,1)))</f>
        <v>juin</v>
      </c>
      <c r="D60" s="50"/>
      <c r="E60" s="86">
        <v>0</v>
      </c>
      <c r="F60" s="197"/>
      <c r="G60" s="198"/>
      <c r="H60" s="19"/>
      <c r="I60" s="51"/>
      <c r="J60" s="22">
        <f>IF(AND($A$13="x",$A$14=""),$I$60*11/100,IF(AND($A$13="",$A$14="x"),(($I$60/1.1)*11%),""))</f>
        <v>0</v>
      </c>
      <c r="K60" s="180"/>
      <c r="L60" s="52" t="str">
        <f>IF(AND($A$13="x",$A$14=""),$K$60*11/100,"")</f>
        <v/>
      </c>
      <c r="M60" s="141">
        <f>IF(AND($A$13="x",$A$14=""),($I$60+$K$60)/10,IF(AND($A$13="",$A$14="x"),$K$60*11/100,""))</f>
        <v>0</v>
      </c>
      <c r="N60" s="153" t="s">
        <v>65</v>
      </c>
      <c r="O60" s="117">
        <f>IF(P60&lt;=0,0,(total_cp_acquisb-valeur_cp_prisb)+(valeur_cp_prisb-O61))</f>
        <v>0</v>
      </c>
      <c r="P60" s="102">
        <f>(total_cp_acquisb-valeur_cp_prisb)+(valeur_cp_prisb-total_cp_10_centb)</f>
        <v>0</v>
      </c>
    </row>
    <row r="61" spans="1:16" ht="14.25" x14ac:dyDescent="0.2">
      <c r="A61" s="20" t="s">
        <v>13</v>
      </c>
      <c r="B61" s="21"/>
      <c r="C61" s="83" t="str">
        <f>IF(ISBLANK(J46),"juillet",(EDATE(C60,1)))</f>
        <v>juillet</v>
      </c>
      <c r="D61" s="50"/>
      <c r="E61" s="86">
        <v>0</v>
      </c>
      <c r="F61" s="197"/>
      <c r="G61" s="198"/>
      <c r="H61" s="19"/>
      <c r="I61" s="51"/>
      <c r="J61" s="22">
        <f>IF(AND($A$13="x",$A$14=""),$I$61*11/100,IF(AND($A$13="",$A$14="x"),(($I$61/1.1)*11%),""))</f>
        <v>0</v>
      </c>
      <c r="K61" s="180"/>
      <c r="L61" s="52" t="str">
        <f>IF(AND($A$13="x",$A$14=""),$K$61*11/100,"")</f>
        <v/>
      </c>
      <c r="M61" s="141">
        <f>IF(AND($A$13="x",$A$14=""),($I$61+$K$61)/10,IF(AND($A$13="",$A$14="x"),$K$61*11/100,""))</f>
        <v>0</v>
      </c>
      <c r="N61" s="154" t="s">
        <v>64</v>
      </c>
      <c r="O61" s="118">
        <f>IF(total_cp_10_centb&gt;K68,total_cp_10_centb,K68)</f>
        <v>0</v>
      </c>
    </row>
    <row r="62" spans="1:16" ht="15.75" x14ac:dyDescent="0.2">
      <c r="A62" s="20" t="s">
        <v>12</v>
      </c>
      <c r="B62" s="21"/>
      <c r="C62" s="83" t="str">
        <f>IF(ISBLANK(J46),"aout",(EDATE(C61,1)))</f>
        <v>aout</v>
      </c>
      <c r="D62" s="50"/>
      <c r="E62" s="86">
        <v>0</v>
      </c>
      <c r="F62" s="197"/>
      <c r="G62" s="198"/>
      <c r="H62" s="19"/>
      <c r="I62" s="51"/>
      <c r="J62" s="22">
        <f>IF(AND($A$13="x",$A$14=""),$I$62*11/100,IF(AND($A$13="",$A$14="x"),(($I$62/1.1)*11%),""))</f>
        <v>0</v>
      </c>
      <c r="K62" s="180"/>
      <c r="L62" s="52" t="str">
        <f>IF(AND($A$13="x",$A$14=""),$K$62*11/100,"")</f>
        <v/>
      </c>
      <c r="M62" s="141">
        <f>IF(AND($A$13="x",$A$14=""),($I$62+$K$62)/10,IF(AND($A$13="",$A$14="x"),$K$62*11/100,""))</f>
        <v>0</v>
      </c>
      <c r="N62" s="27" t="s">
        <v>45</v>
      </c>
      <c r="O62" s="28" t="s">
        <v>2</v>
      </c>
    </row>
    <row r="63" spans="1:16" ht="14.25" x14ac:dyDescent="0.2">
      <c r="A63" s="20" t="s">
        <v>11</v>
      </c>
      <c r="B63" s="21"/>
      <c r="C63" s="83" t="str">
        <f>IF(ISBLANK(J46),"septembre",(EDATE(C62,1)))</f>
        <v>septembre</v>
      </c>
      <c r="D63" s="50"/>
      <c r="E63" s="86">
        <v>0</v>
      </c>
      <c r="F63" s="197"/>
      <c r="G63" s="198"/>
      <c r="H63" s="19"/>
      <c r="I63" s="51"/>
      <c r="J63" s="22">
        <f>IF(AND($A$13="x",$A$14=""),$I$63*11/100,IF(AND($A$13="",$A$14="x"),(($I$63/1.1)*11%),""))</f>
        <v>0</v>
      </c>
      <c r="K63" s="180"/>
      <c r="L63" s="52" t="str">
        <f>IF(AND($A$13="x",$A$14=""),$K$63*11/100,"")</f>
        <v/>
      </c>
      <c r="M63" s="141">
        <f>IF(AND($A$13="x",$A$14=""),($I$63+$K$63)/10,IF(AND($A$13="",$A$14="x"),$K$63*11/100,""))</f>
        <v>0</v>
      </c>
      <c r="N63" s="29"/>
      <c r="O63" s="19"/>
      <c r="P63" s="103"/>
    </row>
    <row r="64" spans="1:16" ht="15" x14ac:dyDescent="0.25">
      <c r="A64" s="20" t="s">
        <v>8</v>
      </c>
      <c r="B64" s="21"/>
      <c r="C64" s="83" t="str">
        <f>IF(ISBLANK(J46),"octobre",(EDATE(C63,1)))</f>
        <v>octobre</v>
      </c>
      <c r="D64" s="50"/>
      <c r="E64" s="86">
        <v>0</v>
      </c>
      <c r="F64" s="197"/>
      <c r="G64" s="198"/>
      <c r="H64" s="19"/>
      <c r="I64" s="51"/>
      <c r="J64" s="22">
        <f>IF(AND($A$13="x",$A$14=""),$I$64*11/100,IF(AND($A$13="",$A$14="x"),(($I$64/1.1)*11%),""))</f>
        <v>0</v>
      </c>
      <c r="K64" s="180"/>
      <c r="L64" s="52" t="str">
        <f>IF(AND($A$13="x",$A$14=""),$K$64*11/100,"")</f>
        <v/>
      </c>
      <c r="M64" s="141">
        <f>IF(AND($A$13="x",$A$14=""),($I$64+$K$64)/10,IF(AND($A$13="",$A$14="x"),$K$64*11/100,""))</f>
        <v>0</v>
      </c>
      <c r="N64" s="280" t="s">
        <v>43</v>
      </c>
      <c r="O64" s="214"/>
      <c r="P64" s="101"/>
    </row>
    <row r="65" spans="1:16" ht="14.25" x14ac:dyDescent="0.2">
      <c r="A65" s="20" t="s">
        <v>9</v>
      </c>
      <c r="B65" s="21"/>
      <c r="C65" s="83" t="str">
        <f>IF(ISBLANK(J46),"novembre",(EDATE(C64,1)))</f>
        <v>novembre</v>
      </c>
      <c r="D65" s="50"/>
      <c r="E65" s="86">
        <v>0</v>
      </c>
      <c r="F65" s="197"/>
      <c r="G65" s="198"/>
      <c r="H65" s="19"/>
      <c r="I65" s="51"/>
      <c r="J65" s="22">
        <f>IF(AND($A$13="x",$A$14=""),$I$65*11/100,IF(AND($A$13="",$A$14="x"),(($I$65/1.1)*11%),""))</f>
        <v>0</v>
      </c>
      <c r="K65" s="180"/>
      <c r="L65" s="52" t="str">
        <f>IF(AND($A$13="x",$A$14=""),$K$65*11/100,"")</f>
        <v/>
      </c>
      <c r="M65" s="141">
        <f>IF(AND($A$13="x",$A$14=""),($I$65+$K$65)/10,IF(AND($A$13="",$A$14="x"),$K$65*11/100,""))</f>
        <v>0</v>
      </c>
      <c r="N65" s="280" t="s">
        <v>44</v>
      </c>
      <c r="O65" s="214"/>
    </row>
    <row r="66" spans="1:16" ht="14.25" customHeight="1" x14ac:dyDescent="0.2">
      <c r="A66" s="30" t="s">
        <v>10</v>
      </c>
      <c r="B66" s="31"/>
      <c r="C66" s="83" t="str">
        <f>IF(ISBLANK(J46),"décembre",(EDATE(C65,1)))</f>
        <v>décembre</v>
      </c>
      <c r="D66" s="80"/>
      <c r="E66" s="87">
        <v>0</v>
      </c>
      <c r="F66" s="197"/>
      <c r="G66" s="198"/>
      <c r="H66" s="19"/>
      <c r="I66" s="54"/>
      <c r="J66" s="32">
        <f>IF(AND($A$13="x",$A$14=""),$I$66*11/100,IF(AND($A$13="",$A$14="x"),(($I$66/1.1)*11%),""))</f>
        <v>0</v>
      </c>
      <c r="K66" s="182"/>
      <c r="L66" s="55" t="str">
        <f>IF(AND($A$13="x",$A$14=""),$K$66*11/100,"")</f>
        <v/>
      </c>
      <c r="M66" s="141">
        <f>IF(AND($A$13="x",$A$14=""),($I$66+$K$66)/10,IF(AND($A$13="",$A$14="x"),$K$66*11/100,""))</f>
        <v>0</v>
      </c>
      <c r="N66" s="261" t="s">
        <v>66</v>
      </c>
      <c r="O66" s="277">
        <f>IF(AND(O62="oui",valeur_cp_non_prisb&gt;0),O60,IF(AND(O62="non",valeur_cp_non_prisb&lt;0),O60,valeur_cp_non_prisb+O60))+IF(AND(valeur_cp_non_prisb&lt;0,O62="oui"),O60,0)</f>
        <v>0</v>
      </c>
      <c r="P66" s="270"/>
    </row>
    <row r="67" spans="1:16" ht="15" customHeight="1" x14ac:dyDescent="0.2">
      <c r="A67" s="252" t="str">
        <f>IF(AND($A$13="x",$A$14=""),"Régularisation Congés payés fin d'année de référence  (Autre formule 10% sur CP)",IF(AND($A$13="",$A$14="x"),"Total des Cp inclus + total CP Hrs comp/sup (cellule I)",""))</f>
        <v>Total des Cp inclus + total CP Hrs comp/sup (cellule I)</v>
      </c>
      <c r="B67" s="253"/>
      <c r="C67" s="253"/>
      <c r="D67" s="253"/>
      <c r="E67" s="253"/>
      <c r="F67" s="253"/>
      <c r="G67" s="253"/>
      <c r="H67" s="253"/>
      <c r="I67" s="253"/>
      <c r="J67" s="73">
        <f>IF(AND($A$13="x",$A$14=""),"",IF(AND($A$13="",$A$14="x"),($J$55+$J$56+$J$57+$J$58+$J$59+$J$60+$J$61+$J$62+$J$63+$J$64+$J$65+$J$66),""))</f>
        <v>0</v>
      </c>
      <c r="K67" s="56" t="str">
        <f>IF(AND($A$13="x",$A$14=""),"",IF(AND($A$13="",$A$14="x"),"Total CP= Hrs Comp/Supp",""))</f>
        <v>Total CP= Hrs Comp/Supp</v>
      </c>
      <c r="L67" s="56"/>
      <c r="M67" s="75">
        <f>IF(AND($A$13="x",$A$14=""),($M$55+$M$56+$M$57+$M$58+$M$59+$M$60+$M$61+$M$62+$M$63+$M$64+$M$65+$M$66)/10,IF(AND($A$13="",$A$14="x"),$M$55+$M$56+$M$57+$M$58+$M$59+$M$60+$M$61+$M$62+$M$63+$M$64+$M$65+$M$66,""))</f>
        <v>0</v>
      </c>
      <c r="N67" s="261"/>
      <c r="O67" s="277"/>
      <c r="P67" s="270"/>
    </row>
    <row r="68" spans="1:16" ht="15" customHeight="1" x14ac:dyDescent="0.2">
      <c r="A68" s="257" t="s">
        <v>78</v>
      </c>
      <c r="B68" s="258"/>
      <c r="C68" s="258"/>
      <c r="D68" s="259"/>
      <c r="E68" s="165">
        <f>'Explication déduction CP'!K29+'Explication déduction CP'!K52</f>
        <v>0</v>
      </c>
      <c r="G68" s="122"/>
      <c r="H68" s="122"/>
      <c r="I68" s="123"/>
      <c r="J68" s="124"/>
      <c r="K68" s="122"/>
      <c r="L68" s="125"/>
      <c r="M68" s="125"/>
      <c r="N68" s="261"/>
      <c r="O68" s="271" t="str">
        <f>IF(AND($F$70&lt;0,O62="oui"),"Report sur l'année suivante",IF(AND($F$70&lt;0,O62="non"),-valeur_cp_non_prisb,""))</f>
        <v/>
      </c>
      <c r="P68" s="270"/>
    </row>
    <row r="69" spans="1:16" ht="14.25" x14ac:dyDescent="0.2">
      <c r="A69" s="160" t="s">
        <v>21</v>
      </c>
      <c r="B69" s="161"/>
      <c r="C69" s="170">
        <f>SUM(E55:E66)</f>
        <v>0</v>
      </c>
      <c r="D69" s="170">
        <f>IF(C69&gt;29,30,IF(C69&gt;30,30,C69))</f>
        <v>0</v>
      </c>
      <c r="E69" s="166">
        <f>IF(ISBLANK(E68),(ROUNDUP(D69,2)),(ROUNDUP((D69-E68),0)))</f>
        <v>0</v>
      </c>
      <c r="F69" s="167">
        <f xml:space="preserve"> SUM(F55:G66)</f>
        <v>0</v>
      </c>
      <c r="G69" s="168" t="s">
        <v>67</v>
      </c>
      <c r="H69" s="57">
        <f>F69</f>
        <v>0</v>
      </c>
      <c r="I69" s="239" t="s">
        <v>37</v>
      </c>
      <c r="J69" s="287">
        <f>IF(AND($A$13="x",$A$14=""),($J$55+$J$56+$J$57+$J$58+$J$59+$J$60+$J$61+$J$62+$J$63+$J$64+$J$65+$J$66+$L$55+$L$56+$L$57+$L$58+$L$59+$L$60+$L$61+$L$62+$L$63+$L$64+$L$65+$L$66),IF(AND($A$13="",$A$14="x"),ROUNDUP($J$67+$M$67,2),""))</f>
        <v>0</v>
      </c>
      <c r="K69" s="241">
        <f>IF(AND($A$13="x",$A$14=""),($J$26+$J$27+$J$28+$J$29+$J$30+$J$31+$J$32+$J$33+$J$34+$J$35+$J$36+$J$37),IF(AND($A$13="",$A$14="x"),ROUNDUP($J$38+$M$38,2),""))</f>
        <v>0</v>
      </c>
      <c r="M69" s="242" t="str">
        <f>IF(AND($A$13="x",$A$14=""),$M$55+$M$56+$M$57+$M$58+$M$59+$M$60+$M$61+$M$62+$M$63+$M$64+$M$65+$M$66+$M$67,IF(AND($A$13="",$A$14="x"),"",""))</f>
        <v/>
      </c>
      <c r="N69" s="273" t="str">
        <f>IF(AND($F$70&lt;0,valeur_cp_non_prisb&lt;0,$O$62="non"),"Remboursement trop perçu à l'employeur (régularisation plus favorable reste due) ","")</f>
        <v/>
      </c>
      <c r="O69" s="271"/>
      <c r="P69" s="270"/>
    </row>
    <row r="70" spans="1:16" ht="14.25" x14ac:dyDescent="0.2">
      <c r="A70" s="171"/>
      <c r="B70" s="172"/>
      <c r="C70" s="173"/>
      <c r="D70" s="173"/>
      <c r="E70" s="174"/>
      <c r="F70" s="183">
        <f>E72-F69</f>
        <v>0</v>
      </c>
      <c r="G70" s="145" t="str">
        <f>IF(F70&lt;0,"CP-NON-acquis","Reste à prendre")</f>
        <v>Reste à prendre</v>
      </c>
      <c r="H70" s="133">
        <f>E72-F69</f>
        <v>0</v>
      </c>
      <c r="I70" s="240"/>
      <c r="J70" s="288"/>
      <c r="K70" s="241"/>
      <c r="M70" s="242"/>
      <c r="N70" s="274"/>
      <c r="O70" s="272"/>
      <c r="P70" s="104"/>
    </row>
    <row r="71" spans="1:16" ht="14.25" x14ac:dyDescent="0.2">
      <c r="A71" s="162" t="s">
        <v>7</v>
      </c>
      <c r="B71" s="163"/>
      <c r="C71" s="164"/>
      <c r="D71" s="164"/>
      <c r="E71" s="76"/>
      <c r="H71" s="19"/>
      <c r="I71" s="41"/>
      <c r="P71" s="107"/>
    </row>
    <row r="72" spans="1:16" ht="15" x14ac:dyDescent="0.25">
      <c r="A72" s="237" t="s">
        <v>22</v>
      </c>
      <c r="B72" s="238"/>
      <c r="C72" s="238"/>
      <c r="D72" s="175"/>
      <c r="E72" s="169">
        <f>IF($E$69&gt;30,30,IF($E$69+$E$71&gt;32,32,$E$69+$E$71))+$E$54</f>
        <v>0</v>
      </c>
      <c r="H72" s="19"/>
      <c r="I72" s="53"/>
      <c r="J72" s="58"/>
      <c r="K72" s="53"/>
      <c r="L72" s="53"/>
      <c r="M72" s="53"/>
      <c r="N72" s="121"/>
      <c r="O72" s="121"/>
      <c r="P72" s="101"/>
    </row>
    <row r="73" spans="1:16" ht="10.5" customHeight="1" x14ac:dyDescent="0.25">
      <c r="H73" s="19"/>
      <c r="I73" s="97" t="s">
        <v>68</v>
      </c>
      <c r="J73" s="97"/>
      <c r="K73" s="97"/>
      <c r="L73" s="97"/>
      <c r="M73" s="97"/>
      <c r="N73" s="97"/>
      <c r="O73" s="19"/>
      <c r="P73" s="101"/>
    </row>
    <row r="74" spans="1:16" ht="3.75" customHeight="1" x14ac:dyDescent="0.25">
      <c r="A74" s="59"/>
      <c r="B74" s="59"/>
      <c r="C74" s="59"/>
      <c r="D74" s="59"/>
      <c r="E74" s="59"/>
      <c r="F74" s="59"/>
      <c r="G74" s="60"/>
      <c r="H74" s="19"/>
      <c r="I74" s="53"/>
      <c r="J74" s="53"/>
      <c r="K74" s="53"/>
      <c r="L74" s="53"/>
      <c r="M74" s="53"/>
      <c r="N74" s="53"/>
      <c r="O74" s="53"/>
      <c r="P74" s="106"/>
    </row>
    <row r="75" spans="1:16" ht="18" customHeight="1" x14ac:dyDescent="0.2">
      <c r="A75" s="216" t="s">
        <v>27</v>
      </c>
      <c r="B75" s="217"/>
      <c r="C75" s="217"/>
      <c r="D75" s="217"/>
      <c r="E75" s="217"/>
      <c r="F75" s="217"/>
      <c r="G75" s="218"/>
      <c r="H75" s="19"/>
      <c r="J75" s="88"/>
      <c r="K75" s="155" t="s">
        <v>20</v>
      </c>
      <c r="L75" s="42"/>
      <c r="M75" s="135"/>
      <c r="O75" s="19"/>
    </row>
    <row r="76" spans="1:16" ht="3" customHeight="1" x14ac:dyDescent="0.2">
      <c r="A76" s="61"/>
      <c r="B76" s="62"/>
      <c r="C76" s="62"/>
      <c r="D76" s="62"/>
      <c r="E76" s="62"/>
      <c r="F76" s="62"/>
      <c r="G76" s="62"/>
      <c r="H76" s="62"/>
      <c r="I76" s="63"/>
      <c r="J76" s="19"/>
      <c r="K76" s="19"/>
      <c r="L76" s="19"/>
      <c r="M76" s="19"/>
      <c r="N76" s="19"/>
      <c r="O76" s="19"/>
    </row>
    <row r="77" spans="1:16" ht="18.75" customHeight="1" x14ac:dyDescent="0.25">
      <c r="A77" s="232" t="s">
        <v>35</v>
      </c>
      <c r="B77" s="233"/>
      <c r="C77" s="233"/>
      <c r="D77" s="233"/>
      <c r="E77" s="233"/>
      <c r="F77" s="233"/>
      <c r="G77" s="234"/>
      <c r="H77" s="19"/>
      <c r="I77" s="263" t="s">
        <v>36</v>
      </c>
      <c r="J77" s="264"/>
      <c r="K77" s="264"/>
      <c r="L77" s="264"/>
      <c r="M77" s="264"/>
      <c r="N77" s="264"/>
      <c r="O77" s="265"/>
      <c r="P77" s="101"/>
    </row>
    <row r="78" spans="1:16" ht="18" hidden="1" customHeight="1" x14ac:dyDescent="0.25">
      <c r="A78" s="19"/>
      <c r="B78" s="19"/>
      <c r="C78" s="19"/>
      <c r="D78" s="19"/>
      <c r="E78" s="19"/>
      <c r="F78" s="19"/>
      <c r="G78" s="19"/>
      <c r="H78" s="19"/>
      <c r="I78" s="19"/>
      <c r="J78" s="44">
        <f>SUMPRODUCT(J83:J95)</f>
        <v>0</v>
      </c>
      <c r="K78" s="19"/>
      <c r="L78" s="64" t="e">
        <f>(((L83+L84+L85+L86+L87+L88+L89+L90+L91+L92+L93+L94+L95)/10)+(L83+L84+L85+L86+L87+L88+L89+L90+L91+L92+L93+L94+L95))</f>
        <v>#VALUE!</v>
      </c>
      <c r="M78" s="142"/>
      <c r="N78" s="19"/>
      <c r="O78" s="19"/>
      <c r="P78" s="101"/>
    </row>
    <row r="79" spans="1:16" ht="2.25" customHeight="1" x14ac:dyDescent="0.25">
      <c r="A79" s="43"/>
      <c r="B79" s="43"/>
      <c r="C79" s="43"/>
      <c r="D79" s="43"/>
      <c r="E79" s="43"/>
      <c r="F79" s="43"/>
      <c r="G79" s="43"/>
      <c r="H79" s="19"/>
      <c r="I79" s="19"/>
      <c r="J79" s="44"/>
      <c r="K79" s="19"/>
      <c r="L79" s="65"/>
      <c r="M79" s="65"/>
      <c r="N79" s="19"/>
      <c r="O79" s="19"/>
      <c r="P79" s="101"/>
    </row>
    <row r="80" spans="1:16" ht="18.75" customHeight="1" x14ac:dyDescent="0.25">
      <c r="A80" s="246" t="s">
        <v>24</v>
      </c>
      <c r="B80" s="247"/>
      <c r="C80" s="247"/>
      <c r="D80" s="247"/>
      <c r="E80" s="247"/>
      <c r="F80" s="108"/>
      <c r="G80" s="18" t="s">
        <v>2</v>
      </c>
      <c r="H80" s="19"/>
      <c r="I80" s="209" t="s">
        <v>34</v>
      </c>
      <c r="J80" s="210"/>
      <c r="K80" s="210"/>
      <c r="L80" s="211"/>
      <c r="M80" s="136"/>
      <c r="N80" s="289" t="s">
        <v>33</v>
      </c>
      <c r="O80" s="269"/>
      <c r="P80" s="101"/>
    </row>
    <row r="81" spans="1:16" ht="15" customHeight="1" x14ac:dyDescent="0.2">
      <c r="A81" s="298" t="s">
        <v>1</v>
      </c>
      <c r="B81" s="298"/>
      <c r="C81" s="298"/>
      <c r="D81" s="298"/>
      <c r="E81" s="298"/>
      <c r="F81" s="219" t="s">
        <v>0</v>
      </c>
      <c r="G81" s="220"/>
      <c r="H81" s="19"/>
      <c r="I81" s="215" t="str">
        <f>IF(AND(A13="x",A14=""),"Salaires BRUT versés /mois Hors Heures comp/supp",IF(AND(A13="",A14="x"),"Salaires BRUT mensualisés",""))</f>
        <v>Salaires BRUT mensualisés</v>
      </c>
      <c r="J81" s="225" t="str">
        <f>IF(AND(A13="x",A14=""),"1ère formule de Calcul (Sur salaire Brut): 11%",IF(AND(A13="",A14="x"),"Dont les congés payés inclus",""))</f>
        <v>Dont les congés payés inclus</v>
      </c>
      <c r="K81" s="225" t="str">
        <f>IF(AND(A13="x",A14=""),"Heures comp/supp-Indiquer le montant du salaire BRUT correspondant uniquement aux Heures complet/ou suppl versées/mois",IF(AND(A13="",A14="x"),"Heures comp/supp-Indiquer le montant du salaire BRUT correspondant uniquement aux Heures complet/ou suppl versées/mois",""))</f>
        <v>Heures comp/supp-Indiquer le montant du salaire BRUT correspondant uniquement aux Heures complet/ou suppl versées/mois</v>
      </c>
      <c r="L81" s="225" t="str">
        <f>IF(AND(A13="x",A14=""),"1ère formule de Calcul (Sur les heures comp/supp): 11%",IF(AND(A13="",A14="x"),"",""))</f>
        <v/>
      </c>
      <c r="M81" s="227" t="str">
        <f>IF(AND(A13="x",A14=""),"Autre formule de calcul",IF(AND(A13="",A14="x"),"Montant Congés à percevoir heures comp ou supp  à 11%",""))</f>
        <v>Montant Congés à percevoir heures comp ou supp  à 11%</v>
      </c>
      <c r="N81" s="283" t="s">
        <v>25</v>
      </c>
      <c r="O81" s="284"/>
    </row>
    <row r="82" spans="1:16" ht="82.5" customHeight="1" x14ac:dyDescent="0.2">
      <c r="A82" s="298"/>
      <c r="B82" s="298"/>
      <c r="C82" s="298"/>
      <c r="D82" s="298"/>
      <c r="E82" s="298"/>
      <c r="F82" s="221"/>
      <c r="G82" s="222"/>
      <c r="H82" s="19"/>
      <c r="I82" s="215"/>
      <c r="J82" s="226"/>
      <c r="K82" s="226"/>
      <c r="L82" s="226"/>
      <c r="M82" s="228"/>
      <c r="N82" s="285"/>
      <c r="O82" s="286"/>
    </row>
    <row r="83" spans="1:16" ht="15.75" customHeight="1" x14ac:dyDescent="0.25">
      <c r="A83" s="303" t="str">
        <f>IF($O$62="oui","Report année précédente","")</f>
        <v>Report année précédente</v>
      </c>
      <c r="B83" s="304"/>
      <c r="C83" s="304"/>
      <c r="D83" s="157"/>
      <c r="E83" s="66">
        <f>IF($O$62="oui",$F$70,0)</f>
        <v>0</v>
      </c>
      <c r="F83" s="278"/>
      <c r="G83" s="279"/>
      <c r="H83" s="19"/>
      <c r="I83" s="159"/>
      <c r="J83" s="67"/>
      <c r="K83" s="48"/>
      <c r="L83" s="68"/>
      <c r="M83" s="143"/>
      <c r="N83" s="148" t="s">
        <v>5</v>
      </c>
      <c r="O83" s="110"/>
      <c r="P83" s="101"/>
    </row>
    <row r="84" spans="1:16" ht="14.25" customHeight="1" x14ac:dyDescent="0.2">
      <c r="A84" s="36" t="s">
        <v>19</v>
      </c>
      <c r="B84" s="37"/>
      <c r="C84" s="158" t="str">
        <f>IF(ISBLANK(J75),"janvier",J75)</f>
        <v>janvier</v>
      </c>
      <c r="D84" s="81"/>
      <c r="E84" s="156">
        <v>0</v>
      </c>
      <c r="F84" s="197"/>
      <c r="G84" s="198"/>
      <c r="H84" s="19"/>
      <c r="I84" s="51"/>
      <c r="J84" s="22">
        <f>IF(AND($A$13="x",$A$14=""),$I$84*11/100,IF(AND($A$13="",$A$14="x"),(($I$84/1.1)*11%),""))</f>
        <v>0</v>
      </c>
      <c r="K84" s="180"/>
      <c r="L84" s="52" t="str">
        <f>IF(AND($A$13="x",$A$14=""),$K$84*11/100,"")</f>
        <v/>
      </c>
      <c r="M84" s="141">
        <f>IF(AND($A$13="x",$A$14=""),($I$84+$K$84)/10,IF(AND($A$13="",$A$14="x"),$K$84*11/100,""))</f>
        <v>0</v>
      </c>
      <c r="N84" s="149" t="s">
        <v>6</v>
      </c>
      <c r="O84" s="25">
        <f>ROUNDUP(O83/26,2)</f>
        <v>0</v>
      </c>
    </row>
    <row r="85" spans="1:16" ht="14.25" customHeight="1" x14ac:dyDescent="0.2">
      <c r="A85" s="20" t="s">
        <v>18</v>
      </c>
      <c r="B85" s="21"/>
      <c r="C85" s="83" t="str">
        <f>IF(ISBLANK(J75),"février",(EDATE(C84,1)))</f>
        <v>février</v>
      </c>
      <c r="D85" s="81"/>
      <c r="E85" s="86">
        <v>0</v>
      </c>
      <c r="F85" s="197"/>
      <c r="G85" s="198"/>
      <c r="H85" s="19"/>
      <c r="I85" s="51"/>
      <c r="J85" s="22">
        <f>IF(AND($A$13="x",$A$14=""),$I$85*11/100,IF(AND($A$13="",$A$14="x"),(($I$85/1.1)*11%),""))</f>
        <v>0</v>
      </c>
      <c r="K85" s="180"/>
      <c r="L85" s="52" t="str">
        <f>IF(AND($A$13="x",$A$14=""),$K$85*11/100,"")</f>
        <v/>
      </c>
      <c r="M85" s="141">
        <f>IF(AND($A$13="x",$A$14=""),($I$85+$K$85)/10,IF(AND($A$13="",$A$14="x"),$K$85*11/100,""))</f>
        <v>0</v>
      </c>
      <c r="N85" s="150" t="s">
        <v>41</v>
      </c>
      <c r="O85" s="113">
        <f>F99*O84</f>
        <v>0</v>
      </c>
      <c r="P85" s="98">
        <f>IF(AND(valeur_cp_non_prisc&lt;0,O91="oui"),-valeur_cp_non_prisc,0)</f>
        <v>0</v>
      </c>
    </row>
    <row r="86" spans="1:16" ht="13.5" customHeight="1" x14ac:dyDescent="0.25">
      <c r="A86" s="20" t="s">
        <v>17</v>
      </c>
      <c r="B86" s="21"/>
      <c r="C86" s="83" t="str">
        <f>IF(ISBLANK(J75),"mars",(EDATE(C85,1)))</f>
        <v>mars</v>
      </c>
      <c r="D86" s="81"/>
      <c r="E86" s="86">
        <v>0</v>
      </c>
      <c r="F86" s="197"/>
      <c r="G86" s="198"/>
      <c r="H86" s="19"/>
      <c r="I86" s="51"/>
      <c r="J86" s="22">
        <f>IF(AND($A$13="x",$A$14=""),$I$86*11/100,IF(AND($A$13="",$A$14="x"),(($I$86/1.1)*11%),""))</f>
        <v>0</v>
      </c>
      <c r="K86" s="180"/>
      <c r="L86" s="52" t="str">
        <f>IF(AND($A$13="x",$A$14=""),$K$86*11/100,"")</f>
        <v/>
      </c>
      <c r="M86" s="141">
        <f>IF(AND($A$13="x",$A$14=""),($I$86+$K$86)/10,IF(AND($A$13="",$A$14="x"),$K$86*11/100,""))</f>
        <v>0</v>
      </c>
      <c r="N86" s="151" t="s">
        <v>63</v>
      </c>
      <c r="O86" s="115">
        <f>(E101-E83)*O84</f>
        <v>0</v>
      </c>
    </row>
    <row r="87" spans="1:16" ht="14.25" x14ac:dyDescent="0.2">
      <c r="A87" s="20" t="s">
        <v>16</v>
      </c>
      <c r="B87" s="21"/>
      <c r="C87" s="83" t="str">
        <f>IF(ISBLANK(J75),"avril",(EDATE(C86,1)))</f>
        <v>avril</v>
      </c>
      <c r="D87" s="81"/>
      <c r="E87" s="86">
        <v>0</v>
      </c>
      <c r="F87" s="197"/>
      <c r="G87" s="198"/>
      <c r="H87" s="19"/>
      <c r="I87" s="51"/>
      <c r="J87" s="22">
        <f>IF(AND($A$13="x",$A$14=""),$I$87*11/100,IF(AND($A$13="",$A$14="x"),(($I$87/1.1)*11%),""))</f>
        <v>0</v>
      </c>
      <c r="K87" s="180"/>
      <c r="L87" s="52" t="str">
        <f>IF(AND($A$13="x",$A$14=""),$K$87*11/100,"")</f>
        <v/>
      </c>
      <c r="M87" s="141">
        <f>IF(AND($A$13="x",$A$14=""),($I$87+$K$87)/10,IF(AND($A$13="",$A$14="x"),$K$87*11/100,""))</f>
        <v>0</v>
      </c>
      <c r="N87" s="152" t="s">
        <v>40</v>
      </c>
      <c r="O87" s="26">
        <f>F98*O84</f>
        <v>0</v>
      </c>
    </row>
    <row r="88" spans="1:16" ht="14.25" x14ac:dyDescent="0.2">
      <c r="A88" s="20" t="s">
        <v>15</v>
      </c>
      <c r="B88" s="21"/>
      <c r="C88" s="83" t="str">
        <f>IF(ISBLANK(J75),"mai",(EDATE(C87,1)))</f>
        <v>mai</v>
      </c>
      <c r="D88" s="81"/>
      <c r="E88" s="86">
        <v>0</v>
      </c>
      <c r="F88" s="197"/>
      <c r="G88" s="198"/>
      <c r="H88" s="19"/>
      <c r="I88" s="51"/>
      <c r="J88" s="22">
        <f>IF(AND($A$13="x",$A$14=""),$I$88*11/100,IF(AND($A$13="",$A$14="x"),(($I$88/1.1)*11%),""))</f>
        <v>0</v>
      </c>
      <c r="K88" s="180"/>
      <c r="L88" s="52" t="str">
        <f>IF(AND($A$13="x",$A$14=""),$K$88*11/100,"")</f>
        <v/>
      </c>
      <c r="M88" s="141">
        <f>IF(AND($A$13="x",$A$14=""),($I$88+$K$88)/10,IF(AND($A$13="",$A$14="x"),$K$88*11/100,""))</f>
        <v>0</v>
      </c>
      <c r="N88" s="275"/>
      <c r="O88" s="276"/>
    </row>
    <row r="89" spans="1:16" ht="14.25" x14ac:dyDescent="0.2">
      <c r="A89" s="20" t="s">
        <v>14</v>
      </c>
      <c r="B89" s="21"/>
      <c r="C89" s="83" t="str">
        <f>IF(ISBLANK(J75),"juin",(EDATE(C88,1)))</f>
        <v>juin</v>
      </c>
      <c r="D89" s="81"/>
      <c r="E89" s="86">
        <v>0</v>
      </c>
      <c r="F89" s="197"/>
      <c r="G89" s="198"/>
      <c r="H89" s="19"/>
      <c r="I89" s="51"/>
      <c r="J89" s="22">
        <f>IF(AND($A$13="x",$A$14=""),$I$89*11/100,IF(AND($A$13="",$A$14="x"),(($I$89/1.1)*11%),""))</f>
        <v>0</v>
      </c>
      <c r="K89" s="180"/>
      <c r="L89" s="52" t="str">
        <f>IF(AND($A$13="x",$A$14=""),$K$89*11/100,"")</f>
        <v/>
      </c>
      <c r="M89" s="141">
        <f>IF(AND($A$13="x",$A$14=""),($I$89+$K$89)/10,IF(AND($A$13="",$A$14="x"),$K$89*11/100,""))</f>
        <v>0</v>
      </c>
      <c r="N89" s="153" t="s">
        <v>65</v>
      </c>
      <c r="O89" s="117">
        <f>IF(P89&lt;=0,0,(total_cp_acquisc-valeur_cp_prisc)+(valeur_cp_prisc-O90))</f>
        <v>0</v>
      </c>
      <c r="P89" s="102">
        <f>(total_cp_acquisc-valeur_cp_prisc)+(valeur_cp_prisc-total_cp_10_centc)</f>
        <v>0</v>
      </c>
    </row>
    <row r="90" spans="1:16" ht="14.25" x14ac:dyDescent="0.2">
      <c r="A90" s="20" t="s">
        <v>13</v>
      </c>
      <c r="B90" s="21"/>
      <c r="C90" s="83" t="str">
        <f>IF(ISBLANK(J75),"juillet",(EDATE(C89,1)))</f>
        <v>juillet</v>
      </c>
      <c r="D90" s="81"/>
      <c r="E90" s="86">
        <v>0</v>
      </c>
      <c r="F90" s="197"/>
      <c r="G90" s="198"/>
      <c r="H90" s="19"/>
      <c r="I90" s="51"/>
      <c r="J90" s="22">
        <f>IF(AND($A$13="x",$A$14=""),$I$90*11/100,IF(AND($A$13="",$A$14="x"),(($I$90/1.1)*11%),""))</f>
        <v>0</v>
      </c>
      <c r="K90" s="180"/>
      <c r="L90" s="52" t="str">
        <f>IF(AND($A$13="x",$A$14=""),$K$90*11/100,"")</f>
        <v/>
      </c>
      <c r="M90" s="141">
        <f>IF(AND($A$13="x",$A$14=""),($I$90+$K$90)/10,IF(AND($A$13="",$A$14="x"),$K$90*11/100,""))</f>
        <v>0</v>
      </c>
      <c r="N90" s="154" t="s">
        <v>64</v>
      </c>
      <c r="O90" s="118">
        <f>IF(total_cp_10_centc&gt;K97,total_cp_10_centc,K97)</f>
        <v>0</v>
      </c>
    </row>
    <row r="91" spans="1:16" ht="15.75" x14ac:dyDescent="0.2">
      <c r="A91" s="20" t="s">
        <v>12</v>
      </c>
      <c r="B91" s="21"/>
      <c r="C91" s="83" t="str">
        <f>IF(ISBLANK(J75),"aout",(EDATE(C90,1)))</f>
        <v>aout</v>
      </c>
      <c r="D91" s="81"/>
      <c r="E91" s="86">
        <v>0</v>
      </c>
      <c r="F91" s="197"/>
      <c r="G91" s="198"/>
      <c r="H91" s="19"/>
      <c r="I91" s="51"/>
      <c r="J91" s="22">
        <f>IF(AND($A$13="x",$A$14=""),$I$91*11/100,IF(AND($A$13="",$A$14="x"),(($I$91/1.1)*11%),""))</f>
        <v>0</v>
      </c>
      <c r="K91" s="180"/>
      <c r="L91" s="52" t="str">
        <f>IF(AND($A$13="x",$A$14=""),$K$91*11/100,"")</f>
        <v/>
      </c>
      <c r="M91" s="141">
        <f>IF(AND($A$13="x",$A$14=""),($I$91+$K$91)/10,IF(AND($A$13="",$A$14="x"),$K$91*11/100,""))</f>
        <v>0</v>
      </c>
      <c r="N91" s="27" t="s">
        <v>45</v>
      </c>
      <c r="O91" s="28" t="s">
        <v>3</v>
      </c>
    </row>
    <row r="92" spans="1:16" ht="14.25" x14ac:dyDescent="0.2">
      <c r="A92" s="20" t="s">
        <v>11</v>
      </c>
      <c r="B92" s="21"/>
      <c r="C92" s="83" t="str">
        <f>IF(ISBLANK(J75),"septembre",(EDATE(C91,1)))</f>
        <v>septembre</v>
      </c>
      <c r="D92" s="81"/>
      <c r="E92" s="86">
        <v>0</v>
      </c>
      <c r="F92" s="197"/>
      <c r="G92" s="198"/>
      <c r="H92" s="19"/>
      <c r="I92" s="51"/>
      <c r="J92" s="22">
        <f>IF(AND($A$13="x",$A$14=""),$I$92*11/100,IF(AND($A$13="",$A$14="x"),(($I$92/1.1)*11%),""))</f>
        <v>0</v>
      </c>
      <c r="K92" s="180"/>
      <c r="L92" s="52" t="str">
        <f>IF(AND($A$13="x",$A$14=""),$K$92*11/100,"")</f>
        <v/>
      </c>
      <c r="M92" s="141">
        <f>IF(AND($A$13="x",$A$14=""),($I$92+$K$92)/10,IF(AND($A$13="",$A$14="x"),$K$92*11/100,""))</f>
        <v>0</v>
      </c>
      <c r="N92" s="29"/>
      <c r="O92" s="19"/>
      <c r="P92" s="103"/>
    </row>
    <row r="93" spans="1:16" ht="15" x14ac:dyDescent="0.25">
      <c r="A93" s="20" t="s">
        <v>8</v>
      </c>
      <c r="B93" s="21"/>
      <c r="C93" s="83" t="str">
        <f>IF(ISBLANK(J75),"octobre",(EDATE(C92,1)))</f>
        <v>octobre</v>
      </c>
      <c r="D93" s="81"/>
      <c r="E93" s="86">
        <v>0</v>
      </c>
      <c r="F93" s="197"/>
      <c r="G93" s="198"/>
      <c r="H93" s="19"/>
      <c r="I93" s="51"/>
      <c r="J93" s="22">
        <f>IF(AND($A$13="x",$A$14=""),$I$93*11/100,IF(AND($A$13="",$A$14="x"),(($I$93/1.1)*11%),""))</f>
        <v>0</v>
      </c>
      <c r="K93" s="180"/>
      <c r="L93" s="52" t="str">
        <f>IF(AND($A$13="x",$A$14=""),$K$93*11/100,"")</f>
        <v/>
      </c>
      <c r="M93" s="141">
        <f>IF(AND($A$13="x",$A$14=""),($I$93+$K$93)/10,IF(AND($A$13="",$A$14="x"),$K$93*11/100,""))</f>
        <v>0</v>
      </c>
      <c r="N93" s="280" t="s">
        <v>43</v>
      </c>
      <c r="O93" s="214"/>
      <c r="P93" s="101"/>
    </row>
    <row r="94" spans="1:16" ht="14.25" x14ac:dyDescent="0.2">
      <c r="A94" s="20" t="s">
        <v>9</v>
      </c>
      <c r="B94" s="21"/>
      <c r="C94" s="83" t="str">
        <f>IF(ISBLANK(J75),"novembre",(EDATE(C93,1)))</f>
        <v>novembre</v>
      </c>
      <c r="D94" s="81"/>
      <c r="E94" s="86">
        <v>0</v>
      </c>
      <c r="F94" s="197"/>
      <c r="G94" s="198"/>
      <c r="H94" s="19"/>
      <c r="I94" s="51"/>
      <c r="J94" s="22">
        <f>IF(AND($A$13="x",$A$14=""),$I$94*11/100,IF(AND($A$13="",$A$14="x"),(($I$94/1.1)*11%),""))</f>
        <v>0</v>
      </c>
      <c r="K94" s="180"/>
      <c r="L94" s="52" t="str">
        <f>IF(AND($A$13="x",$A$14=""),$K$94*11/100,"")</f>
        <v/>
      </c>
      <c r="M94" s="141">
        <f>IF(AND($A$13="x",$A$14=""),($I$94+$K$94)/10,IF(AND($A$13="",$A$14="x"),$K$94*11/100,""))</f>
        <v>0</v>
      </c>
      <c r="N94" s="280" t="s">
        <v>44</v>
      </c>
      <c r="O94" s="214"/>
    </row>
    <row r="95" spans="1:16" ht="14.25" customHeight="1" x14ac:dyDescent="0.2">
      <c r="A95" s="30" t="s">
        <v>10</v>
      </c>
      <c r="B95" s="31"/>
      <c r="C95" s="83" t="str">
        <f>IF(ISBLANK(J75),"décembre",(EDATE(C94,1)))</f>
        <v>décembre</v>
      </c>
      <c r="D95" s="82"/>
      <c r="E95" s="87">
        <v>0</v>
      </c>
      <c r="F95" s="197"/>
      <c r="G95" s="198"/>
      <c r="H95" s="19"/>
      <c r="I95" s="51"/>
      <c r="J95" s="69">
        <f>IF(AND($A$13="x",$A$14=""),$I$95*11/100,IF(AND($A$13="",$A$14="x"),(($I$95/1.1)*11%),""))</f>
        <v>0</v>
      </c>
      <c r="K95" s="181"/>
      <c r="L95" s="55" t="str">
        <f>IF(AND($A$13="x",$A$14=""),$K$95*11/100,"")</f>
        <v/>
      </c>
      <c r="M95" s="141">
        <f>IF(AND($A$13="x",$A$14=""),($I$95+$K$95)/10,IF(AND($A$13="",$A$14="x"),$K$95*11/100,""))</f>
        <v>0</v>
      </c>
      <c r="N95" s="261" t="s">
        <v>66</v>
      </c>
      <c r="O95" s="277">
        <f>IF(AND(O91="oui",valeur_cp_non_prisc&gt;0),O89,IF(AND(O91="non",valeur_cp_non_prisc&lt;0),O89,valeur_cp_non_prisc+O89))+IF(AND(valeur_cp_non_prisc&lt;0,O91="oui"),O89,0)</f>
        <v>0</v>
      </c>
      <c r="P95" s="270"/>
    </row>
    <row r="96" spans="1:16" ht="15.75" customHeight="1" x14ac:dyDescent="0.25">
      <c r="A96" s="252" t="str">
        <f>IF(AND($A$13="x",$A$14=""),"Régularisation Congés payés fin d'année de référence  (Autre formule 10% sur CP)",IF(AND($A$13="",$A$14="x"),"Total des Cp inclus + total CP Hrs comp/sup (cellule I)",""))</f>
        <v>Total des Cp inclus + total CP Hrs comp/sup (cellule I)</v>
      </c>
      <c r="B96" s="253"/>
      <c r="C96" s="253"/>
      <c r="D96" s="253"/>
      <c r="E96" s="253"/>
      <c r="F96" s="253"/>
      <c r="G96" s="253"/>
      <c r="H96" s="253"/>
      <c r="I96" s="253"/>
      <c r="J96" s="73">
        <f>IF(AND($A$13="x",$A$14=""),"",IF(AND($A$13="",$A$14="x"),($J$84+$J$85+$J$86+$J$87+$J$88+$J$89+$J$90+$J$91+$J$92+$J$93+$J$94+$J$95),""))</f>
        <v>0</v>
      </c>
      <c r="K96" s="56" t="str">
        <f>IF(AND($A$13="x",$A$14=""),"",IF(AND($A$13="",$A$14="x"),"Total CP= Hrs Comp/Supp",""))</f>
        <v>Total CP= Hrs Comp/Supp</v>
      </c>
      <c r="L96" s="56"/>
      <c r="M96" s="74">
        <f>IF(AND($A$13="x",$A$14=""),(M84+M85+M86+M87+M88+M89+M90+M91+M92+M93+M94+M95)/10,IF(AND($A$13="",$A$14="x"),M84+M85+M86+M87+M88+M89+M90+M91+M92+M93+M94+M95,""))</f>
        <v>0</v>
      </c>
      <c r="N96" s="261"/>
      <c r="O96" s="277"/>
      <c r="P96" s="270"/>
    </row>
    <row r="97" spans="1:18" ht="15.75" x14ac:dyDescent="0.25">
      <c r="A97" s="257" t="s">
        <v>78</v>
      </c>
      <c r="B97" s="258"/>
      <c r="C97" s="258"/>
      <c r="D97" s="259"/>
      <c r="E97" s="165">
        <f>'Explication déduction CP'!K31+'Explication déduction CP'!K54</f>
        <v>0</v>
      </c>
      <c r="G97" s="122"/>
      <c r="H97" s="122"/>
      <c r="I97" s="123"/>
      <c r="J97" s="124"/>
      <c r="K97" s="126"/>
      <c r="L97" s="127"/>
      <c r="M97" s="127"/>
      <c r="N97" s="261"/>
      <c r="O97" s="271" t="str">
        <f>IF(AND($F$99&lt;0,O91="oui"),"Report sur l'année suivante",IF(AND($F$99&lt;0,O91="non"),-valeur_cp_non_prisc,""))</f>
        <v/>
      </c>
      <c r="P97" s="270"/>
    </row>
    <row r="98" spans="1:18" ht="14.25" x14ac:dyDescent="0.2">
      <c r="A98" s="160" t="s">
        <v>21</v>
      </c>
      <c r="B98" s="161"/>
      <c r="C98" s="170">
        <f>SUM(E84:E95)</f>
        <v>0</v>
      </c>
      <c r="D98" s="170">
        <f>IF(C98&gt;29,30,IF(C98&gt;30,30,C98))</f>
        <v>0</v>
      </c>
      <c r="E98" s="166">
        <f>IF(ISBLANK(E97),(ROUNDUP(D98,2)),(ROUNDUP((D98-E97),0)))</f>
        <v>0</v>
      </c>
      <c r="F98" s="146">
        <f xml:space="preserve"> SUM(F84:G95)</f>
        <v>0</v>
      </c>
      <c r="G98" s="144" t="s">
        <v>67</v>
      </c>
      <c r="H98" s="38" t="str">
        <f>G98</f>
        <v>CP pris</v>
      </c>
      <c r="I98" s="239" t="s">
        <v>37</v>
      </c>
      <c r="J98" s="290">
        <f>IF(AND($A$13="x",$A$14=""),($J$84+$J$85+$J$86+$J$87+$J$88+$J$89+$J$90+$J$91+$J$92+$J$93+$J$94+$J$95+$L$84+$L$85+$L$86+$L$87+$L$88+$L$89+$L$90+$L$91+$L$92+$L$93+$L$94+$L$95),IF(AND($A$13="",$A$14="x"),ROUNDUP($J$96+$M$96,2),""))</f>
        <v>0</v>
      </c>
      <c r="K98" s="241">
        <f>IF(AND($A$13="x",$A$14=""),($J$26+$J$27+$J$28+$J$29+$J$30+$J$31+$J$32+$J$33+$J$34+$J$35+$J$36+$J$37),IF(AND($A$13="",$A$14="x"),ROUNDUP($J$38+$M$38,2),""))</f>
        <v>0</v>
      </c>
      <c r="M98" s="260" t="str">
        <f>IF(AND($A$13="x",$A$14=""),$M$84+$M$85+$M$86+$M$87+$M$88+$M$89+$M$90+$M$91+$M$92+$M$93+$M$94+$M$95+$M$96,IF(AND($A$13="",$A$14="x"),"",""))</f>
        <v/>
      </c>
      <c r="N98" s="273" t="str">
        <f>IF(AND($F$99&lt;0,valeur_cp_non_prisc&lt;0,$O$91="non"),"Remboursement trop perçu à l'employeur (régularisation plus favorable reste due) ","")</f>
        <v/>
      </c>
      <c r="O98" s="271"/>
      <c r="P98" s="270"/>
    </row>
    <row r="99" spans="1:18" ht="14.25" x14ac:dyDescent="0.2">
      <c r="A99" s="176"/>
      <c r="B99" s="177"/>
      <c r="C99" s="178"/>
      <c r="D99" s="178"/>
      <c r="E99" s="179"/>
      <c r="F99" s="147">
        <f>E101-F98</f>
        <v>0</v>
      </c>
      <c r="G99" s="145" t="str">
        <f>IF(F99&lt;0,"CP-NON-acquis","Reste à prendre")</f>
        <v>Reste à prendre</v>
      </c>
      <c r="H99" s="19"/>
      <c r="I99" s="240"/>
      <c r="J99" s="291"/>
      <c r="K99" s="241"/>
      <c r="M99" s="260"/>
      <c r="N99" s="274"/>
      <c r="O99" s="272"/>
      <c r="P99" s="104"/>
    </row>
    <row r="100" spans="1:18" ht="15.75" customHeight="1" x14ac:dyDescent="0.2">
      <c r="A100" s="162" t="s">
        <v>7</v>
      </c>
      <c r="B100" s="163"/>
      <c r="C100" s="164"/>
      <c r="D100" s="164"/>
      <c r="E100" s="76"/>
      <c r="H100" s="19"/>
      <c r="I100" s="41"/>
      <c r="K100" s="97"/>
      <c r="L100" s="97"/>
      <c r="M100" s="97"/>
      <c r="P100" s="107"/>
    </row>
    <row r="101" spans="1:18" ht="14.25" x14ac:dyDescent="0.2">
      <c r="A101" s="237" t="s">
        <v>22</v>
      </c>
      <c r="B101" s="238"/>
      <c r="C101" s="238"/>
      <c r="D101" s="175"/>
      <c r="E101" s="169">
        <f>IF($E$98&gt;30,30,IF($E$98+$E$100&gt;32,32,$E$98+$E$100))+$E$83</f>
        <v>0</v>
      </c>
      <c r="H101" s="19"/>
      <c r="I101" s="53"/>
      <c r="J101" s="248" t="s">
        <v>48</v>
      </c>
      <c r="K101" s="248"/>
      <c r="L101" s="248"/>
      <c r="M101" s="248"/>
      <c r="N101" s="248"/>
      <c r="O101" s="248"/>
    </row>
    <row r="102" spans="1:18" ht="8.25" customHeight="1" x14ac:dyDescent="0.25">
      <c r="A102" s="19"/>
      <c r="B102" s="19"/>
      <c r="C102" s="19"/>
      <c r="D102" s="19"/>
      <c r="E102" s="19"/>
      <c r="F102" s="19"/>
      <c r="G102" s="19"/>
      <c r="H102" s="19"/>
      <c r="I102" s="19"/>
      <c r="J102" s="19"/>
      <c r="K102" s="19"/>
      <c r="P102" s="101"/>
    </row>
    <row r="103" spans="1:18" ht="15" x14ac:dyDescent="0.25">
      <c r="A103" s="70"/>
      <c r="B103" s="196" t="s">
        <v>53</v>
      </c>
      <c r="C103" s="196"/>
      <c r="D103" s="196"/>
      <c r="E103" s="196"/>
      <c r="F103" s="196"/>
      <c r="G103" s="196"/>
      <c r="H103" s="53"/>
      <c r="I103" s="53"/>
      <c r="J103" s="19"/>
      <c r="K103" s="53"/>
      <c r="N103" s="195" t="s">
        <v>54</v>
      </c>
      <c r="O103" s="195"/>
      <c r="P103" s="106"/>
    </row>
    <row r="104" spans="1:18" ht="15.75" x14ac:dyDescent="0.25">
      <c r="A104" s="53"/>
      <c r="B104" s="196"/>
      <c r="C104" s="196"/>
      <c r="D104" s="196"/>
      <c r="E104" s="196"/>
      <c r="F104" s="196"/>
      <c r="G104" s="196"/>
      <c r="H104" s="53"/>
      <c r="I104" s="53"/>
      <c r="J104" s="71" t="s">
        <v>77</v>
      </c>
      <c r="K104" s="53"/>
      <c r="N104" s="195"/>
      <c r="O104" s="195"/>
      <c r="P104" s="101"/>
    </row>
    <row r="105" spans="1:18" ht="15" x14ac:dyDescent="0.25">
      <c r="A105" s="1"/>
      <c r="D105" s="1"/>
      <c r="E105" s="1"/>
      <c r="F105" s="1"/>
      <c r="G105" s="1"/>
      <c r="H105" s="1"/>
      <c r="I105" s="1"/>
      <c r="J105" s="1"/>
      <c r="K105" s="1"/>
      <c r="L105" s="1"/>
      <c r="M105" s="1"/>
      <c r="P105" s="101"/>
    </row>
    <row r="106" spans="1:18" ht="15" x14ac:dyDescent="0.25">
      <c r="A106" s="1"/>
      <c r="B106" s="1"/>
      <c r="C106" s="1"/>
      <c r="D106" s="1"/>
      <c r="E106" s="1"/>
      <c r="F106" s="1"/>
      <c r="G106" s="1"/>
      <c r="H106" s="1"/>
      <c r="I106" s="1"/>
      <c r="J106" s="1"/>
      <c r="K106" s="1"/>
      <c r="L106" s="1"/>
      <c r="M106" s="1"/>
      <c r="N106" s="1"/>
      <c r="O106" s="1"/>
      <c r="P106" s="101"/>
      <c r="Q106" s="1"/>
      <c r="R106" s="1"/>
    </row>
    <row r="107" spans="1:18" ht="15" x14ac:dyDescent="0.25">
      <c r="A107" s="1"/>
      <c r="B107" s="1"/>
      <c r="C107" s="1"/>
      <c r="D107" s="1"/>
      <c r="E107" s="1"/>
      <c r="F107" s="1"/>
      <c r="G107" s="1"/>
      <c r="H107" s="1"/>
      <c r="I107" s="1"/>
      <c r="J107" s="1"/>
      <c r="K107" s="1"/>
      <c r="L107" s="1"/>
      <c r="M107" s="1"/>
      <c r="N107" s="1"/>
      <c r="O107" s="1"/>
      <c r="P107" s="101"/>
      <c r="Q107" s="1"/>
      <c r="R107" s="1"/>
    </row>
    <row r="108" spans="1:18" ht="15" x14ac:dyDescent="0.25">
      <c r="A108" s="1"/>
      <c r="B108" s="1"/>
      <c r="C108" s="1"/>
      <c r="D108" s="1"/>
      <c r="E108" s="1"/>
      <c r="F108" s="1"/>
      <c r="G108" s="1"/>
      <c r="H108" s="1"/>
      <c r="J108" s="1"/>
      <c r="K108" s="1"/>
      <c r="L108" s="1"/>
      <c r="M108" s="1"/>
      <c r="N108" s="1"/>
      <c r="O108" s="1"/>
      <c r="P108" s="101"/>
      <c r="Q108" s="1"/>
      <c r="R108" s="1"/>
    </row>
  </sheetData>
  <sheetProtection algorithmName="SHA-512" hashValue="OEs/vWnyyXx3wmq5G4yy9EgToz0Ji5gVGUv+ceDUPxvn8/DVbP75K+rSXpKMOnYg3EReHsTW7Lm+d+/ldN0A+Q==" saltValue="vOx7N5uJsWtZwt75Jsds+A==" spinCount="100000" sheet="1" selectLockedCells="1"/>
  <mergeCells count="150">
    <mergeCell ref="A101:C101"/>
    <mergeCell ref="J101:O101"/>
    <mergeCell ref="B103:G104"/>
    <mergeCell ref="N103:O104"/>
    <mergeCell ref="G14:O14"/>
    <mergeCell ref="P95:P96"/>
    <mergeCell ref="A96:I96"/>
    <mergeCell ref="A97:D97"/>
    <mergeCell ref="O97:O99"/>
    <mergeCell ref="P97:P98"/>
    <mergeCell ref="I98:I99"/>
    <mergeCell ref="J98:J99"/>
    <mergeCell ref="K98:K99"/>
    <mergeCell ref="M98:M99"/>
    <mergeCell ref="N98:N99"/>
    <mergeCell ref="F92:G92"/>
    <mergeCell ref="F93:G93"/>
    <mergeCell ref="N93:O93"/>
    <mergeCell ref="F94:G94"/>
    <mergeCell ref="N94:O94"/>
    <mergeCell ref="F95:G95"/>
    <mergeCell ref="N95:N97"/>
    <mergeCell ref="O95:O96"/>
    <mergeCell ref="F87:G87"/>
    <mergeCell ref="F89:G89"/>
    <mergeCell ref="F90:G90"/>
    <mergeCell ref="F91:G91"/>
    <mergeCell ref="N81:O82"/>
    <mergeCell ref="A83:C83"/>
    <mergeCell ref="F83:G83"/>
    <mergeCell ref="F84:G84"/>
    <mergeCell ref="F85:G85"/>
    <mergeCell ref="F86:G86"/>
    <mergeCell ref="A81:E82"/>
    <mergeCell ref="F81:G82"/>
    <mergeCell ref="I81:I82"/>
    <mergeCell ref="J81:J82"/>
    <mergeCell ref="K81:K82"/>
    <mergeCell ref="L81:L82"/>
    <mergeCell ref="M81:M82"/>
    <mergeCell ref="F88:G88"/>
    <mergeCell ref="N88:O88"/>
    <mergeCell ref="A72:C72"/>
    <mergeCell ref="A75:G75"/>
    <mergeCell ref="A77:G77"/>
    <mergeCell ref="I77:O77"/>
    <mergeCell ref="F66:G66"/>
    <mergeCell ref="N66:N68"/>
    <mergeCell ref="O66:O67"/>
    <mergeCell ref="A80:E80"/>
    <mergeCell ref="I80:L80"/>
    <mergeCell ref="N80:O80"/>
    <mergeCell ref="P66:P67"/>
    <mergeCell ref="A67:I67"/>
    <mergeCell ref="A68:D68"/>
    <mergeCell ref="O68:O70"/>
    <mergeCell ref="P68:P69"/>
    <mergeCell ref="I69:I70"/>
    <mergeCell ref="J69:J70"/>
    <mergeCell ref="F62:G62"/>
    <mergeCell ref="F63:G63"/>
    <mergeCell ref="F64:G64"/>
    <mergeCell ref="N64:O64"/>
    <mergeCell ref="F65:G65"/>
    <mergeCell ref="N65:O65"/>
    <mergeCell ref="K69:K70"/>
    <mergeCell ref="M69:M70"/>
    <mergeCell ref="N69:N70"/>
    <mergeCell ref="F57:G57"/>
    <mergeCell ref="F58:G58"/>
    <mergeCell ref="F59:G59"/>
    <mergeCell ref="N59:O59"/>
    <mergeCell ref="F60:G60"/>
    <mergeCell ref="F61:G61"/>
    <mergeCell ref="M52:M53"/>
    <mergeCell ref="N52:O53"/>
    <mergeCell ref="A54:C54"/>
    <mergeCell ref="F54:G54"/>
    <mergeCell ref="F55:G55"/>
    <mergeCell ref="F56:G56"/>
    <mergeCell ref="A52:E53"/>
    <mergeCell ref="F52:G53"/>
    <mergeCell ref="I52:I53"/>
    <mergeCell ref="J52:J53"/>
    <mergeCell ref="K52:K53"/>
    <mergeCell ref="L52:L53"/>
    <mergeCell ref="A43:D43"/>
    <mergeCell ref="I43:O43"/>
    <mergeCell ref="A46:G46"/>
    <mergeCell ref="A48:G48"/>
    <mergeCell ref="I48:O48"/>
    <mergeCell ref="A51:E51"/>
    <mergeCell ref="I51:L51"/>
    <mergeCell ref="N51:O51"/>
    <mergeCell ref="P38:P39"/>
    <mergeCell ref="A39:D39"/>
    <mergeCell ref="I40:I41"/>
    <mergeCell ref="J40:J41"/>
    <mergeCell ref="K40:K41"/>
    <mergeCell ref="M40:M41"/>
    <mergeCell ref="O40:O42"/>
    <mergeCell ref="P40:P41"/>
    <mergeCell ref="A41:B41"/>
    <mergeCell ref="N41:N42"/>
    <mergeCell ref="F35:G35"/>
    <mergeCell ref="F36:G36"/>
    <mergeCell ref="N36:O36"/>
    <mergeCell ref="F37:G37"/>
    <mergeCell ref="N37:O37"/>
    <mergeCell ref="A38:I38"/>
    <mergeCell ref="N38:N40"/>
    <mergeCell ref="O38:O39"/>
    <mergeCell ref="F29:G29"/>
    <mergeCell ref="F30:G30"/>
    <mergeCell ref="F31:G31"/>
    <mergeCell ref="F32:G32"/>
    <mergeCell ref="F33:G33"/>
    <mergeCell ref="F34:G34"/>
    <mergeCell ref="M23:M24"/>
    <mergeCell ref="N23:O24"/>
    <mergeCell ref="F25:L25"/>
    <mergeCell ref="F26:G26"/>
    <mergeCell ref="F27:G27"/>
    <mergeCell ref="F28:G28"/>
    <mergeCell ref="A23:E24"/>
    <mergeCell ref="F23:G24"/>
    <mergeCell ref="I23:I24"/>
    <mergeCell ref="J23:J24"/>
    <mergeCell ref="K23:K24"/>
    <mergeCell ref="L23:L24"/>
    <mergeCell ref="A20:G20"/>
    <mergeCell ref="I20:O20"/>
    <mergeCell ref="A22:E22"/>
    <mergeCell ref="I22:L22"/>
    <mergeCell ref="N22:O22"/>
    <mergeCell ref="A10:O10"/>
    <mergeCell ref="B11:O11"/>
    <mergeCell ref="A12:F12"/>
    <mergeCell ref="B13:F13"/>
    <mergeCell ref="G13:O13"/>
    <mergeCell ref="B14:F14"/>
    <mergeCell ref="A1:O1"/>
    <mergeCell ref="A4:C4"/>
    <mergeCell ref="E4:J4"/>
    <mergeCell ref="K4:L4"/>
    <mergeCell ref="N4:O4"/>
    <mergeCell ref="A8:C8"/>
    <mergeCell ref="E8:O8"/>
    <mergeCell ref="A17:G17"/>
    <mergeCell ref="A19:G19"/>
  </mergeCells>
  <conditionalFormatting sqref="I23:O24">
    <cfRule type="expression" dxfId="14" priority="6" stopIfTrue="1">
      <formula>$A$13="x"</formula>
    </cfRule>
  </conditionalFormatting>
  <conditionalFormatting sqref="I52:O53">
    <cfRule type="expression" dxfId="13" priority="4" stopIfTrue="1">
      <formula>$A$13="x"</formula>
    </cfRule>
  </conditionalFormatting>
  <conditionalFormatting sqref="I81:O82">
    <cfRule type="expression" dxfId="12" priority="1" stopIfTrue="1">
      <formula>$A$13="x"</formula>
    </cfRule>
  </conditionalFormatting>
  <conditionalFormatting sqref="N25 J40 N54 J69 N83 J98">
    <cfRule type="expression" dxfId="11" priority="15" stopIfTrue="1">
      <formula>$A$13="x"</formula>
    </cfRule>
  </conditionalFormatting>
  <conditionalFormatting sqref="N25 M40">
    <cfRule type="expression" dxfId="10" priority="23" stopIfTrue="1">
      <formula>$A$12="x"</formula>
    </cfRule>
  </conditionalFormatting>
  <conditionalFormatting sqref="N54">
    <cfRule type="expression" dxfId="9" priority="21" stopIfTrue="1">
      <formula>$A$12="x"</formula>
    </cfRule>
  </conditionalFormatting>
  <conditionalFormatting sqref="N59">
    <cfRule type="containsErrors" dxfId="8" priority="19" stopIfTrue="1">
      <formula>ISERROR(N59)</formula>
    </cfRule>
  </conditionalFormatting>
  <conditionalFormatting sqref="N83">
    <cfRule type="expression" dxfId="7" priority="18" stopIfTrue="1">
      <formula>$A$12="x"</formula>
    </cfRule>
  </conditionalFormatting>
  <conditionalFormatting sqref="N88">
    <cfRule type="containsErrors" dxfId="6" priority="16" stopIfTrue="1">
      <formula>ISERROR(N88)</formula>
    </cfRule>
  </conditionalFormatting>
  <conditionalFormatting sqref="O31">
    <cfRule type="cellIs" dxfId="5" priority="22" stopIfTrue="1" operator="lessThanOrEqual">
      <formula>0</formula>
    </cfRule>
  </conditionalFormatting>
  <conditionalFormatting sqref="O38:O39">
    <cfRule type="expression" dxfId="4" priority="13" stopIfTrue="1">
      <formula>$O$38&lt;0</formula>
    </cfRule>
  </conditionalFormatting>
  <conditionalFormatting sqref="O60">
    <cfRule type="cellIs" dxfId="3" priority="20" stopIfTrue="1" operator="lessThanOrEqual">
      <formula>0</formula>
    </cfRule>
  </conditionalFormatting>
  <conditionalFormatting sqref="O66:O67">
    <cfRule type="expression" dxfId="2" priority="14" stopIfTrue="1">
      <formula>$O$66&lt;0</formula>
    </cfRule>
  </conditionalFormatting>
  <conditionalFormatting sqref="O89">
    <cfRule type="cellIs" dxfId="1" priority="17" stopIfTrue="1" operator="lessThanOrEqual">
      <formula>0</formula>
    </cfRule>
  </conditionalFormatting>
  <conditionalFormatting sqref="O95:O96">
    <cfRule type="expression" dxfId="0" priority="12" stopIfTrue="1">
      <formula>$O$95&lt;0</formula>
    </cfRule>
  </conditionalFormatting>
  <dataValidations count="3">
    <dataValidation type="list" allowBlank="1" showInputMessage="1" showErrorMessage="1" sqref="E71 E42 E100" xr:uid="{459A57AD-FDA9-4704-B7F6-EC7678851AD0}">
      <formula1>cp</formula1>
    </dataValidation>
    <dataValidation type="list" allowBlank="1" showInputMessage="1" showErrorMessage="1" sqref="E55:E66 E26:E37 E84:E95" xr:uid="{14D26090-A64B-483B-A551-24691FA2D01B}">
      <formula1>jours_ouvrables</formula1>
    </dataValidation>
    <dataValidation type="list" allowBlank="1" showInputMessage="1" showErrorMessage="1" sqref="G51 G22 G80 O33 O91 O62" xr:uid="{D3550F8F-EC34-449A-947C-F51241133CD2}">
      <formula1>oui_non</formula1>
    </dataValidation>
  </dataValidations>
  <pageMargins left="7.6291079812206572E-3" right="5.642361111111111E-3" top="0" bottom="0" header="0" footer="0"/>
  <pageSetup paperSize="9" scale="50" fitToHeight="0" orientation="portrait" horizontalDpi="4294967293" r:id="rId1"/>
  <colBreaks count="1" manualBreakCount="1">
    <brk id="15" max="103"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724EA-962E-40CA-A20E-A15DE778C5AD}">
  <sheetPr codeName="Feuil3">
    <tabColor rgb="FFFF0000"/>
  </sheetPr>
  <dimension ref="B1:M54"/>
  <sheetViews>
    <sheetView showGridLines="0" workbookViewId="0">
      <selection activeCell="J54" sqref="J54"/>
    </sheetView>
  </sheetViews>
  <sheetFormatPr baseColWidth="10" defaultRowHeight="11.25" x14ac:dyDescent="0.2"/>
  <cols>
    <col min="1" max="1" width="3.1640625" customWidth="1"/>
    <col min="2" max="2" width="18.1640625" customWidth="1"/>
    <col min="7" max="7" width="12.1640625" customWidth="1"/>
  </cols>
  <sheetData>
    <row r="1" spans="2:13" ht="11.25" customHeight="1" thickBot="1" x14ac:dyDescent="0.25"/>
    <row r="2" spans="2:13" ht="14.25" customHeight="1" thickBot="1" x14ac:dyDescent="0.25">
      <c r="B2" s="307" t="s">
        <v>79</v>
      </c>
      <c r="C2" s="308"/>
      <c r="D2" s="308"/>
      <c r="E2" s="308"/>
      <c r="F2" s="308"/>
      <c r="G2" s="308"/>
      <c r="H2" s="308"/>
      <c r="I2" s="308"/>
      <c r="J2" s="308"/>
      <c r="K2" s="308"/>
      <c r="L2" s="308"/>
      <c r="M2" s="309"/>
    </row>
    <row r="10" spans="2:13" ht="2.25" customHeight="1" x14ac:dyDescent="0.2"/>
    <row r="11" spans="2:13" ht="0.75" customHeight="1" x14ac:dyDescent="0.2"/>
    <row r="16" spans="2:13" ht="6.75" customHeight="1" x14ac:dyDescent="0.2"/>
    <row r="17" spans="2:13" ht="3" customHeight="1" x14ac:dyDescent="0.2"/>
    <row r="18" spans="2:13" ht="3" customHeight="1" thickBot="1" x14ac:dyDescent="0.25">
      <c r="B18" s="89"/>
    </row>
    <row r="19" spans="2:13" ht="12.75" customHeight="1" thickBot="1" x14ac:dyDescent="0.25">
      <c r="B19" s="319" t="s">
        <v>55</v>
      </c>
      <c r="C19" s="320"/>
      <c r="D19" s="320"/>
      <c r="E19" s="320"/>
      <c r="F19" s="320"/>
      <c r="G19" s="320"/>
      <c r="H19" s="320"/>
      <c r="I19" s="320"/>
      <c r="J19" s="320"/>
      <c r="K19" s="320"/>
      <c r="L19" s="320"/>
      <c r="M19" s="90"/>
    </row>
    <row r="20" spans="2:13" ht="51.75" customHeight="1" thickBot="1" x14ac:dyDescent="0.25">
      <c r="B20" s="321" t="s">
        <v>56</v>
      </c>
      <c r="C20" s="322"/>
      <c r="D20" s="91">
        <v>39</v>
      </c>
      <c r="E20" s="91">
        <v>40</v>
      </c>
      <c r="F20" s="91">
        <v>41</v>
      </c>
      <c r="G20" s="91">
        <v>42</v>
      </c>
      <c r="H20" s="91">
        <v>43</v>
      </c>
      <c r="I20" s="91">
        <v>44</v>
      </c>
      <c r="J20" s="91">
        <v>45</v>
      </c>
      <c r="K20" s="91">
        <v>46</v>
      </c>
      <c r="L20" s="91">
        <v>47</v>
      </c>
      <c r="M20" s="91">
        <v>48</v>
      </c>
    </row>
    <row r="21" spans="2:13" ht="40.5" customHeight="1" thickBot="1" x14ac:dyDescent="0.25">
      <c r="B21" s="323" t="s">
        <v>57</v>
      </c>
      <c r="C21" s="324"/>
      <c r="D21" s="92">
        <v>0.375</v>
      </c>
      <c r="E21" s="92">
        <v>1</v>
      </c>
      <c r="F21" s="92">
        <v>1.625</v>
      </c>
      <c r="G21" s="92">
        <v>2.25</v>
      </c>
      <c r="H21" s="92">
        <v>2.875</v>
      </c>
      <c r="I21" s="92">
        <v>3.5</v>
      </c>
      <c r="J21" s="92">
        <v>4.125</v>
      </c>
      <c r="K21" s="92">
        <v>4.75</v>
      </c>
      <c r="L21" s="92">
        <v>5.375</v>
      </c>
      <c r="M21" s="92">
        <v>6</v>
      </c>
    </row>
    <row r="22" spans="2:13" ht="4.5" customHeight="1" x14ac:dyDescent="0.2"/>
    <row r="23" spans="2:13" ht="15.75" x14ac:dyDescent="0.25">
      <c r="B23" s="316" t="s">
        <v>58</v>
      </c>
      <c r="C23" s="317"/>
      <c r="D23" s="317"/>
      <c r="E23" s="318"/>
      <c r="F23" s="93" t="s">
        <v>59</v>
      </c>
      <c r="H23" s="310" t="s">
        <v>72</v>
      </c>
      <c r="I23" s="311"/>
      <c r="J23" s="311"/>
      <c r="K23" s="312"/>
    </row>
    <row r="24" spans="2:13" ht="3" customHeight="1" x14ac:dyDescent="0.2"/>
    <row r="25" spans="2:13" ht="15" x14ac:dyDescent="0.25">
      <c r="B25" s="313" t="s">
        <v>80</v>
      </c>
      <c r="C25" s="314"/>
      <c r="D25" s="314"/>
      <c r="E25" s="315"/>
      <c r="F25" s="93" t="s">
        <v>59</v>
      </c>
      <c r="H25" s="313" t="s">
        <v>80</v>
      </c>
      <c r="I25" s="314"/>
      <c r="J25" s="314"/>
      <c r="K25" s="315"/>
      <c r="M25" s="93"/>
    </row>
    <row r="26" spans="2:13" ht="4.5" customHeight="1" x14ac:dyDescent="0.2"/>
    <row r="27" spans="2:13" ht="15" x14ac:dyDescent="0.25">
      <c r="B27" s="85" t="s">
        <v>69</v>
      </c>
      <c r="C27" s="85" t="s">
        <v>60</v>
      </c>
      <c r="D27" s="94"/>
      <c r="E27" s="95">
        <f>IF(OR(D27=48,D27=49,D27=50,D27=51,D27=52),6,IF(OR(ISBLANK(D27),D27&lt;39),0,((D27-38.5)/4)*2.5+0.0625))</f>
        <v>0</v>
      </c>
      <c r="H27" s="85" t="s">
        <v>69</v>
      </c>
      <c r="I27" s="85" t="s">
        <v>60</v>
      </c>
      <c r="J27" s="94"/>
      <c r="K27" s="95">
        <f>IF(OR(J27=48,J27=49,J27=50,J27=51,J27=52),6,IF(OR(ISBLANK(J27),J27&lt;39),0,((J27-38.5)/4)*2.5+0.0625))</f>
        <v>0</v>
      </c>
    </row>
    <row r="28" spans="2:13" ht="4.5" customHeight="1" x14ac:dyDescent="0.25">
      <c r="F28" s="93"/>
    </row>
    <row r="29" spans="2:13" ht="15" x14ac:dyDescent="0.25">
      <c r="B29" s="85" t="s">
        <v>70</v>
      </c>
      <c r="C29" s="85" t="s">
        <v>60</v>
      </c>
      <c r="D29" s="94"/>
      <c r="E29" s="95">
        <f>IF(OR(D29=48,D29=49,D29=50,D29=51,D29=52),6,IF(OR(ISBLANK(D29),D29&lt;39),0,((D29-38.5)/4)*2.5+0.0625))</f>
        <v>0</v>
      </c>
      <c r="H29" s="85" t="s">
        <v>70</v>
      </c>
      <c r="I29" s="85" t="s">
        <v>60</v>
      </c>
      <c r="J29" s="94"/>
      <c r="K29" s="95">
        <f>IF(OR(J29=48,J29=49,J29=50,J29=51,J29=52),6,IF(OR(ISBLANK(J29),J29&lt;39),0,((J29-38.5)/4)*2.5+0.0625))</f>
        <v>0</v>
      </c>
    </row>
    <row r="30" spans="2:13" ht="3.75" customHeight="1" x14ac:dyDescent="0.25">
      <c r="F30" s="93"/>
    </row>
    <row r="31" spans="2:13" ht="15" x14ac:dyDescent="0.25">
      <c r="B31" s="85" t="s">
        <v>71</v>
      </c>
      <c r="C31" s="85" t="s">
        <v>60</v>
      </c>
      <c r="D31" s="94"/>
      <c r="E31" s="95">
        <f>IF(OR(D31=48,D31=49,D31=50,D31=51,D31=52),6,IF(OR(ISBLANK(D31),D31&lt;39),0,((D31-38.5)/4)*2.5+0.0625))</f>
        <v>0</v>
      </c>
      <c r="H31" s="85" t="s">
        <v>71</v>
      </c>
      <c r="I31" s="85" t="s">
        <v>60</v>
      </c>
      <c r="J31" s="94"/>
      <c r="K31" s="95">
        <f>IF(OR(J31=48,J31=49,J31=50,J31=51,J31=52),6,IF(OR(ISBLANK(J31),J31&lt;39),0,((J31-38.5)/4)*2.5+0.0625))</f>
        <v>0</v>
      </c>
    </row>
    <row r="33" spans="2:13" ht="12" thickBot="1" x14ac:dyDescent="0.25"/>
    <row r="34" spans="2:13" ht="15" thickBot="1" x14ac:dyDescent="0.25">
      <c r="B34" s="325" t="s">
        <v>85</v>
      </c>
      <c r="C34" s="326"/>
      <c r="D34" s="326"/>
      <c r="E34" s="326"/>
      <c r="F34" s="326"/>
      <c r="G34" s="326"/>
      <c r="H34" s="326"/>
      <c r="I34" s="326"/>
      <c r="J34" s="326"/>
      <c r="K34" s="326"/>
      <c r="L34" s="326"/>
      <c r="M34" s="327"/>
    </row>
    <row r="44" spans="2:13" ht="15.75" x14ac:dyDescent="0.25">
      <c r="B44" s="328" t="s">
        <v>58</v>
      </c>
      <c r="C44" s="329"/>
      <c r="D44" s="329"/>
      <c r="E44" s="330"/>
      <c r="F44" s="93" t="s">
        <v>59</v>
      </c>
      <c r="H44" s="334" t="s">
        <v>72</v>
      </c>
      <c r="I44" s="335"/>
      <c r="J44" s="335"/>
      <c r="K44" s="336"/>
    </row>
    <row r="45" spans="2:13" ht="3.75" customHeight="1" x14ac:dyDescent="0.2"/>
    <row r="46" spans="2:13" ht="15" x14ac:dyDescent="0.25">
      <c r="B46" s="331" t="s">
        <v>80</v>
      </c>
      <c r="C46" s="332"/>
      <c r="D46" s="332"/>
      <c r="E46" s="333"/>
      <c r="F46" s="93" t="s">
        <v>59</v>
      </c>
      <c r="H46" s="331" t="s">
        <v>80</v>
      </c>
      <c r="I46" s="332"/>
      <c r="J46" s="332"/>
      <c r="K46" s="333"/>
      <c r="M46" s="93"/>
    </row>
    <row r="47" spans="2:13" ht="3.75" customHeight="1" x14ac:dyDescent="0.2"/>
    <row r="48" spans="2:13" ht="11.25" customHeight="1" x14ac:dyDescent="0.2">
      <c r="C48" t="s">
        <v>82</v>
      </c>
      <c r="D48" s="98" t="s">
        <v>81</v>
      </c>
      <c r="E48" t="s">
        <v>84</v>
      </c>
      <c r="I48" t="s">
        <v>82</v>
      </c>
      <c r="J48" s="98" t="s">
        <v>81</v>
      </c>
      <c r="K48" t="s">
        <v>84</v>
      </c>
    </row>
    <row r="49" spans="2:11" ht="3.75" customHeight="1" x14ac:dyDescent="0.2"/>
    <row r="50" spans="2:11" ht="15" x14ac:dyDescent="0.25">
      <c r="B50" s="85" t="s">
        <v>69</v>
      </c>
      <c r="C50" s="85">
        <f>SUM(calcul_cp!E26:E37)</f>
        <v>0</v>
      </c>
      <c r="D50" s="94"/>
      <c r="E50" s="95">
        <f>IF((D50/4*2.5)&lt;C50,C50-(D50/4*2.5),0)</f>
        <v>0</v>
      </c>
      <c r="H50" s="85" t="s">
        <v>69</v>
      </c>
      <c r="I50" s="85">
        <f>SUM('Poursuite cp sur + 3 année'!E26:E37)</f>
        <v>0</v>
      </c>
      <c r="J50" s="94"/>
      <c r="K50" s="95">
        <f>IF((J50/4*2.5)&lt;I50,I50-(J50/4*2.5),0)</f>
        <v>0</v>
      </c>
    </row>
    <row r="51" spans="2:11" ht="3.75" customHeight="1" x14ac:dyDescent="0.25">
      <c r="F51" s="93"/>
    </row>
    <row r="52" spans="2:11" ht="15" x14ac:dyDescent="0.25">
      <c r="B52" s="85" t="s">
        <v>70</v>
      </c>
      <c r="C52" s="85">
        <f>SUM(calcul_cp!E55:E66)</f>
        <v>0</v>
      </c>
      <c r="D52" s="94"/>
      <c r="E52" s="95">
        <f>IF((D52/4*2.5)&lt;C52,C52-(D52/4*2.5),0)</f>
        <v>0</v>
      </c>
      <c r="H52" s="85" t="s">
        <v>70</v>
      </c>
      <c r="I52" s="85">
        <f>SUM('Poursuite cp sur + 3 année'!E55:E66)</f>
        <v>0</v>
      </c>
      <c r="J52" s="94"/>
      <c r="K52" s="95">
        <f>IF((J52/4*2.5)&lt;I52,I52-(J52/4*2.5),0)</f>
        <v>0</v>
      </c>
    </row>
    <row r="53" spans="2:11" ht="3.75" customHeight="1" x14ac:dyDescent="0.25">
      <c r="F53" s="93"/>
    </row>
    <row r="54" spans="2:11" ht="15" x14ac:dyDescent="0.25">
      <c r="B54" s="85" t="s">
        <v>71</v>
      </c>
      <c r="C54" s="85">
        <f>SUM(calcul_cp!E84:E95)</f>
        <v>0</v>
      </c>
      <c r="D54" s="94"/>
      <c r="E54" s="95">
        <f>IF((D54/4*2.5)&lt;C54,C54-(D54/4*2.5),0)</f>
        <v>0</v>
      </c>
      <c r="H54" s="85" t="s">
        <v>71</v>
      </c>
      <c r="I54" s="85">
        <f>SUM('Poursuite cp sur + 3 année'!E84:E95)</f>
        <v>0</v>
      </c>
      <c r="J54" s="94"/>
      <c r="K54" s="95">
        <f>IF((J54/4*2.5)&lt;I54,I54-(J54/4*2.5),0)</f>
        <v>0</v>
      </c>
    </row>
  </sheetData>
  <sheetProtection algorithmName="SHA-512" hashValue="XmPuPzX/bmp8OFAxbH3IIOxzS6b+JjG/JQtb8xleya27cfeWmAjqFDYZe2hjh5a6Gyj19DN0T3EBHfRX3NhPMQ==" saltValue="9gY8SwYFLM4Y8h97SCx6nQ==" spinCount="100000" sheet="1" selectLockedCells="1"/>
  <mergeCells count="13">
    <mergeCell ref="B46:E46"/>
    <mergeCell ref="H46:K46"/>
    <mergeCell ref="B19:L19"/>
    <mergeCell ref="B20:C20"/>
    <mergeCell ref="B21:C21"/>
    <mergeCell ref="B25:E25"/>
    <mergeCell ref="B23:E23"/>
    <mergeCell ref="B2:M2"/>
    <mergeCell ref="B34:M34"/>
    <mergeCell ref="H23:K23"/>
    <mergeCell ref="H25:K25"/>
    <mergeCell ref="B44:E44"/>
    <mergeCell ref="H44:K44"/>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3DCF9-F21D-4690-AF7B-E6DBFD985E6C}">
  <sheetPr codeName="Feuil5"/>
  <dimension ref="A1:AK7"/>
  <sheetViews>
    <sheetView topLeftCell="Q1" workbookViewId="0">
      <selection activeCell="W28" sqref="W28"/>
    </sheetView>
  </sheetViews>
  <sheetFormatPr baseColWidth="10" defaultRowHeight="11.25" x14ac:dyDescent="0.2"/>
  <sheetData>
    <row r="1" spans="1:37" x14ac:dyDescent="0.2">
      <c r="A1">
        <v>0</v>
      </c>
      <c r="B1" t="s">
        <v>2</v>
      </c>
      <c r="I1">
        <v>1</v>
      </c>
      <c r="T1">
        <v>0</v>
      </c>
      <c r="AK1">
        <v>0</v>
      </c>
    </row>
    <row r="2" spans="1:37" x14ac:dyDescent="0.2">
      <c r="A2">
        <v>1</v>
      </c>
      <c r="B2" t="s">
        <v>3</v>
      </c>
      <c r="I2">
        <v>2</v>
      </c>
      <c r="T2">
        <v>1</v>
      </c>
      <c r="AK2">
        <v>2.5</v>
      </c>
    </row>
    <row r="3" spans="1:37" x14ac:dyDescent="0.2">
      <c r="A3">
        <v>2</v>
      </c>
      <c r="I3">
        <v>3</v>
      </c>
      <c r="T3">
        <v>2</v>
      </c>
    </row>
    <row r="4" spans="1:37" x14ac:dyDescent="0.2">
      <c r="T4">
        <v>3</v>
      </c>
    </row>
    <row r="5" spans="1:37" x14ac:dyDescent="0.2">
      <c r="T5">
        <v>4</v>
      </c>
    </row>
    <row r="6" spans="1:37" x14ac:dyDescent="0.2">
      <c r="T6">
        <v>5</v>
      </c>
    </row>
    <row r="7" spans="1:37" x14ac:dyDescent="0.2">
      <c r="T7">
        <v>6</v>
      </c>
    </row>
  </sheetData>
  <sheetProtection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30</vt:i4>
      </vt:variant>
    </vt:vector>
  </HeadingPairs>
  <TitlesOfParts>
    <vt:vector size="34" baseType="lpstr">
      <vt:lpstr>calcul_cp</vt:lpstr>
      <vt:lpstr>Poursuite cp sur + 3 année</vt:lpstr>
      <vt:lpstr>Explication déduction CP</vt:lpstr>
      <vt:lpstr>Feuil1</vt:lpstr>
      <vt:lpstr>cp</vt:lpstr>
      <vt:lpstr>jours_ouvrables</vt:lpstr>
      <vt:lpstr>oui_non</vt:lpstr>
      <vt:lpstr>reference</vt:lpstr>
      <vt:lpstr>'Poursuite cp sur + 3 année'!total_cp_10_cent</vt:lpstr>
      <vt:lpstr>total_cp_10_cent</vt:lpstr>
      <vt:lpstr>'Poursuite cp sur + 3 année'!total_cp_10_centb</vt:lpstr>
      <vt:lpstr>total_cp_10_centb</vt:lpstr>
      <vt:lpstr>'Poursuite cp sur + 3 année'!total_cp_10_centc</vt:lpstr>
      <vt:lpstr>total_cp_10_centc</vt:lpstr>
      <vt:lpstr>'Poursuite cp sur + 3 année'!total_cp_acquis</vt:lpstr>
      <vt:lpstr>total_cp_acquis</vt:lpstr>
      <vt:lpstr>'Poursuite cp sur + 3 année'!total_cp_acquisb</vt:lpstr>
      <vt:lpstr>total_cp_acquisb</vt:lpstr>
      <vt:lpstr>'Poursuite cp sur + 3 année'!total_cp_acquisc</vt:lpstr>
      <vt:lpstr>total_cp_acquisc</vt:lpstr>
      <vt:lpstr>'Poursuite cp sur + 3 année'!valeur_cp_non_pris</vt:lpstr>
      <vt:lpstr>valeur_cp_non_pris</vt:lpstr>
      <vt:lpstr>'Poursuite cp sur + 3 année'!valeur_cp_non_prisb</vt:lpstr>
      <vt:lpstr>valeur_cp_non_prisb</vt:lpstr>
      <vt:lpstr>'Poursuite cp sur + 3 année'!valeur_cp_non_prisc</vt:lpstr>
      <vt:lpstr>valeur_cp_non_prisc</vt:lpstr>
      <vt:lpstr>'Poursuite cp sur + 3 année'!valeur_cp_pris</vt:lpstr>
      <vt:lpstr>valeur_cp_pris</vt:lpstr>
      <vt:lpstr>'Poursuite cp sur + 3 année'!valeur_cp_prisb</vt:lpstr>
      <vt:lpstr>valeur_cp_prisb</vt:lpstr>
      <vt:lpstr>'Poursuite cp sur + 3 année'!valeur_cp_prisc</vt:lpstr>
      <vt:lpstr>valeur_cp_prisc</vt:lpstr>
      <vt:lpstr>calcul_cp!Zone_d_impression</vt:lpstr>
      <vt:lpstr>'Poursuite cp sur + 3 année'!Zone_d_impression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Congés payés</dc:title>
  <cp:lastModifiedBy>P</cp:lastModifiedBy>
  <cp:lastPrinted>2019-04-02T13:05:23Z</cp:lastPrinted>
  <dcterms:created xsi:type="dcterms:W3CDTF">2011-10-19T07:06:28Z</dcterms:created>
  <dcterms:modified xsi:type="dcterms:W3CDTF">2026-05-27T12:51:48Z</dcterms:modified>
</cp:coreProperties>
</file>