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e PRO\kDrive\Pro\CLIENTS\ANAMAAF\Documents en ligne sur site\2026-05 Congés et SMIC\"/>
    </mc:Choice>
  </mc:AlternateContent>
  <xr:revisionPtr revIDLastSave="0" documentId="13_ncr:1_{2C2D2274-3283-4C24-87B8-73538D876D37}" xr6:coauthVersionLast="47" xr6:coauthVersionMax="47" xr10:uidLastSave="{00000000-0000-0000-0000-000000000000}"/>
  <workbookProtection workbookAlgorithmName="SHA-512" workbookHashValue="PTuqvi6e9lyYTGsh+NxNCHV6aBjbKCpTcZHFhpVcjKXzY1SaI2cF4ibyXO2LU370Yy1LNaJkZixddAyjmsLK2g==" workbookSaltValue="FvyxOPTSGSKihD05/O6DqQ==" workbookSpinCount="100000" lockStructure="1"/>
  <bookViews>
    <workbookView xWindow="-120" yWindow="-120" windowWidth="24240" windowHeight="13140" tabRatio="432" xr2:uid="{7905EC5B-BCAD-409C-BD05-8994F41FE1CB}"/>
  </bookViews>
  <sheets>
    <sheet name="Mensualisation CDI" sheetId="2" r:id="rId1"/>
    <sheet name="Mensualisation CDD" sheetId="5" r:id="rId2"/>
    <sheet name="Sources" sheetId="4" state="hidden" r:id="rId3"/>
  </sheets>
  <definedNames>
    <definedName name="AGE">Sources!$N$14</definedName>
    <definedName name="CMG_Plafond">Sources!$X$22</definedName>
    <definedName name="CMG_Ref">Sources!$X$23</definedName>
    <definedName name="critères_date_caf">Sources!$Q$14</definedName>
    <definedName name="Date_naissance" localSheetId="1">'Mensualisation CDD'!$AE$10</definedName>
    <definedName name="Date_naissance">'Mensualisation CDI'!$AE$10</definedName>
    <definedName name="enfant">Sources!$AJ$1:$AJ$4</definedName>
    <definedName name="IE_annuelles">Sources!$R$19</definedName>
    <definedName name="IE_CCN">Sources!$R$22</definedName>
    <definedName name="net_annuel" localSheetId="1">'Mensualisation CDD'!$AX$37</definedName>
    <definedName name="net_annuel">'Mensualisation CDI'!$AX$37</definedName>
    <definedName name="ouinon">Sources!$AH$1:$AH$2</definedName>
    <definedName name="P_plafond_impôt">Sources!$Q$21</definedName>
    <definedName name="pourcent">Sources!$AM$1:$AM$8</definedName>
  </definedNames>
  <calcPr calcId="181029"/>
</workbook>
</file>

<file path=xl/calcChain.xml><?xml version="1.0" encoding="utf-8"?>
<calcChain xmlns="http://schemas.openxmlformats.org/spreadsheetml/2006/main">
  <c r="Z59" i="5" l="1"/>
  <c r="Z60" i="5" s="1"/>
  <c r="Z61" i="5" s="1"/>
  <c r="Z62" i="5" s="1"/>
  <c r="Z63" i="5" s="1"/>
  <c r="Z64" i="5" s="1"/>
  <c r="Z65" i="5" s="1"/>
  <c r="R59" i="5"/>
  <c r="R60" i="5" s="1"/>
  <c r="R61" i="5" s="1"/>
  <c r="R62" i="5" s="1"/>
  <c r="R63" i="5" s="1"/>
  <c r="R64" i="5" s="1"/>
  <c r="R65" i="5" s="1"/>
  <c r="J59" i="5"/>
  <c r="J60" i="5" s="1"/>
  <c r="J61" i="5" s="1"/>
  <c r="J62" i="5" s="1"/>
  <c r="J63" i="5" s="1"/>
  <c r="J64" i="5" s="1"/>
  <c r="J65" i="5" s="1"/>
  <c r="Z59" i="2"/>
  <c r="Z60" i="2" s="1"/>
  <c r="Z61" i="2" s="1"/>
  <c r="Z62" i="2" s="1"/>
  <c r="Z63" i="2" s="1"/>
  <c r="Z64" i="2" s="1"/>
  <c r="Z65" i="2" s="1"/>
  <c r="R59" i="2"/>
  <c r="R60" i="2" s="1"/>
  <c r="R61" i="2" s="1"/>
  <c r="R62" i="2" s="1"/>
  <c r="R63" i="2" s="1"/>
  <c r="R64" i="2" s="1"/>
  <c r="R65" i="2" s="1"/>
  <c r="J59" i="2"/>
  <c r="J60" i="2" s="1"/>
  <c r="J61" i="2" s="1"/>
  <c r="J62" i="2" s="1"/>
  <c r="J63" i="2" s="1"/>
  <c r="J64" i="2" s="1"/>
  <c r="J65" i="2" s="1"/>
  <c r="AQ47" i="5"/>
  <c r="U51" i="5"/>
  <c r="U51" i="2"/>
  <c r="AB55" i="2"/>
  <c r="AQ47" i="2"/>
  <c r="B60" i="5"/>
  <c r="B61" i="5" s="1"/>
  <c r="B62" i="5" s="1"/>
  <c r="B63" i="5" s="1"/>
  <c r="B64" i="5" s="1"/>
  <c r="B65" i="5" s="1"/>
  <c r="AB55" i="5"/>
  <c r="I55" i="5"/>
  <c r="Q49" i="5"/>
  <c r="Q47" i="5"/>
  <c r="Q45" i="5"/>
  <c r="Q45" i="2"/>
  <c r="Q49" i="2"/>
  <c r="B60" i="2"/>
  <c r="B61" i="2" s="1"/>
  <c r="B62" i="2" s="1"/>
  <c r="B63" i="2" s="1"/>
  <c r="B64" i="2" s="1"/>
  <c r="B65" i="2" s="1"/>
  <c r="I55" i="2"/>
  <c r="AH26" i="5"/>
  <c r="T48" i="4"/>
  <c r="Q48" i="4"/>
  <c r="T39" i="4"/>
  <c r="Q39" i="4"/>
  <c r="H25" i="4"/>
  <c r="H24" i="4"/>
  <c r="H23" i="4"/>
  <c r="H22" i="4"/>
  <c r="H21" i="4"/>
  <c r="H20" i="4"/>
  <c r="H19" i="4"/>
  <c r="H18" i="4"/>
  <c r="AD40" i="5" s="1"/>
  <c r="H17" i="4"/>
  <c r="AD37" i="5" s="1"/>
  <c r="H16" i="4"/>
  <c r="AD40" i="2" s="1"/>
  <c r="H14" i="4"/>
  <c r="H13" i="4"/>
  <c r="H12" i="4"/>
  <c r="H11" i="4"/>
  <c r="H10" i="4"/>
  <c r="H9" i="4"/>
  <c r="H8" i="4"/>
  <c r="H15" i="4"/>
  <c r="Q23" i="4" s="1"/>
  <c r="K16" i="4"/>
  <c r="F16" i="4"/>
  <c r="J16" i="4"/>
  <c r="E16" i="4"/>
  <c r="J19" i="4"/>
  <c r="B77" i="2"/>
  <c r="X57" i="4"/>
  <c r="X66" i="4"/>
  <c r="T57" i="4"/>
  <c r="T66" i="4"/>
  <c r="Q57" i="4"/>
  <c r="Q66" i="4"/>
  <c r="N57" i="4"/>
  <c r="N66" i="4"/>
  <c r="H36" i="4"/>
  <c r="G36" i="4" s="1"/>
  <c r="AC15" i="2"/>
  <c r="G15" i="2" s="1"/>
  <c r="P40" i="5"/>
  <c r="P37" i="5"/>
  <c r="N14" i="4"/>
  <c r="AP10" i="5" s="1"/>
  <c r="Q14" i="4"/>
  <c r="E15" i="4"/>
  <c r="F15" i="4"/>
  <c r="J15" i="4"/>
  <c r="K15" i="4"/>
  <c r="R24" i="4"/>
  <c r="B27" i="4"/>
  <c r="Z39" i="4"/>
  <c r="Z48" i="4"/>
  <c r="AE54" i="4"/>
  <c r="AE55" i="4"/>
  <c r="Z57" i="4"/>
  <c r="AE57" i="4"/>
  <c r="AE58" i="4"/>
  <c r="Z75" i="4"/>
  <c r="N77" i="4"/>
  <c r="Q77" i="4"/>
  <c r="T77" i="4"/>
  <c r="Z77" i="4"/>
  <c r="AE77" i="4"/>
  <c r="AE78" i="4"/>
  <c r="Z81" i="4"/>
  <c r="N83" i="4"/>
  <c r="Q83" i="4"/>
  <c r="T83" i="4"/>
  <c r="Z83" i="4"/>
  <c r="AE83" i="4"/>
  <c r="AE84" i="4"/>
  <c r="X86" i="4"/>
  <c r="Z86" i="4"/>
  <c r="Z88" i="4"/>
  <c r="AE86" i="4"/>
  <c r="AE88" i="4"/>
  <c r="AE87" i="4"/>
  <c r="AE89" i="4"/>
  <c r="N88" i="4"/>
  <c r="Q88" i="4"/>
  <c r="T88" i="4"/>
  <c r="X91" i="4"/>
  <c r="Z91" i="4"/>
  <c r="Z93" i="4"/>
  <c r="N93" i="4"/>
  <c r="Q93" i="4"/>
  <c r="T93" i="4"/>
  <c r="AE93" i="4"/>
  <c r="AE94" i="4"/>
  <c r="AU1" i="5"/>
  <c r="AN8" i="5"/>
  <c r="AC15" i="5"/>
  <c r="AE15" i="5"/>
  <c r="AI15" i="5" s="1"/>
  <c r="AC16" i="5"/>
  <c r="G16" i="5" s="1"/>
  <c r="AE16" i="5"/>
  <c r="AI16" i="5" s="1"/>
  <c r="AL16" i="5" s="1"/>
  <c r="G18" i="5"/>
  <c r="AC18" i="5"/>
  <c r="AE18" i="5"/>
  <c r="AI18" i="5" s="1"/>
  <c r="AL18" i="5" s="1"/>
  <c r="AC20" i="5"/>
  <c r="G20" i="5"/>
  <c r="AE20" i="5"/>
  <c r="AI20" i="5" s="1"/>
  <c r="AC22" i="5"/>
  <c r="G22" i="5" s="1"/>
  <c r="AE22" i="5"/>
  <c r="AI22" i="5" s="1"/>
  <c r="AC24" i="5"/>
  <c r="G24" i="5" s="1"/>
  <c r="AE24" i="5"/>
  <c r="AI24" i="5"/>
  <c r="AL24" i="5" s="1"/>
  <c r="AW26" i="5"/>
  <c r="L40" i="5" s="1"/>
  <c r="W37" i="5"/>
  <c r="W40" i="5"/>
  <c r="B73" i="5"/>
  <c r="AU1" i="2"/>
  <c r="AN8" i="2"/>
  <c r="AE15" i="2"/>
  <c r="AI15" i="2" s="1"/>
  <c r="AC16" i="2"/>
  <c r="G16" i="2"/>
  <c r="AE16" i="2"/>
  <c r="AI16" i="2" s="1"/>
  <c r="AL16" i="2" s="1"/>
  <c r="AC18" i="2"/>
  <c r="G18" i="2" s="1"/>
  <c r="AE18" i="2"/>
  <c r="AI18" i="2" s="1"/>
  <c r="AL18" i="2" s="1"/>
  <c r="AC20" i="2"/>
  <c r="G20" i="2" s="1"/>
  <c r="AE20" i="2"/>
  <c r="AI20" i="2" s="1"/>
  <c r="AC22" i="2"/>
  <c r="G22" i="2" s="1"/>
  <c r="AE22" i="2"/>
  <c r="AI22" i="2" s="1"/>
  <c r="AC24" i="2"/>
  <c r="G24" i="2" s="1"/>
  <c r="AE24" i="2"/>
  <c r="AI24" i="2"/>
  <c r="AL24" i="2" s="1"/>
  <c r="AH26" i="2"/>
  <c r="AW26" i="2"/>
  <c r="L40" i="2" s="1"/>
  <c r="W37" i="2"/>
  <c r="W40" i="2"/>
  <c r="B73" i="2"/>
  <c r="Z66" i="4"/>
  <c r="T19" i="4"/>
  <c r="L37" i="5" l="1"/>
  <c r="N26" i="5"/>
  <c r="AP32" i="5" s="1"/>
  <c r="AE26" i="5"/>
  <c r="AC26" i="5"/>
  <c r="Q50" i="5" s="1"/>
  <c r="L55" i="5" s="1"/>
  <c r="O55" i="5" s="1"/>
  <c r="AL20" i="5"/>
  <c r="AI26" i="5"/>
  <c r="H37" i="5" s="1"/>
  <c r="AL15" i="5"/>
  <c r="AL26" i="5" s="1"/>
  <c r="H40" i="5" s="1"/>
  <c r="S40" i="5" s="1"/>
  <c r="AL22" i="5"/>
  <c r="G15" i="5"/>
  <c r="G14" i="5" s="1"/>
  <c r="T5" i="5" s="1"/>
  <c r="AD37" i="2"/>
  <c r="AI26" i="2"/>
  <c r="H37" i="2" s="1"/>
  <c r="N59" i="4"/>
  <c r="N63" i="4" s="1"/>
  <c r="H81" i="5" s="1"/>
  <c r="T68" i="4"/>
  <c r="T71" i="4" s="1"/>
  <c r="N84" i="2" s="1"/>
  <c r="AE61" i="4"/>
  <c r="N50" i="4"/>
  <c r="N54" i="4" s="1"/>
  <c r="AE70" i="4"/>
  <c r="AE72" i="4" s="1"/>
  <c r="X85" i="5" s="1"/>
  <c r="AB85" i="5" s="1"/>
  <c r="Z68" i="4"/>
  <c r="Z71" i="4" s="1"/>
  <c r="Q84" i="5" s="1"/>
  <c r="Q50" i="4"/>
  <c r="Q54" i="4" s="1"/>
  <c r="N41" i="4"/>
  <c r="N45" i="4" s="1"/>
  <c r="H78" i="2" s="1"/>
  <c r="Z50" i="4"/>
  <c r="Z54" i="4" s="1"/>
  <c r="AC8" i="5"/>
  <c r="AL15" i="2"/>
  <c r="AC26" i="2"/>
  <c r="X85" i="2"/>
  <c r="AB85" i="2" s="1"/>
  <c r="AC8" i="2"/>
  <c r="AE69" i="4"/>
  <c r="AE71" i="4" s="1"/>
  <c r="X84" i="2" s="1"/>
  <c r="AB84" i="2" s="1"/>
  <c r="T41" i="4"/>
  <c r="T45" i="4" s="1"/>
  <c r="N78" i="2" s="1"/>
  <c r="R25" i="4"/>
  <c r="Q41" i="4"/>
  <c r="Q45" i="4" s="1"/>
  <c r="K78" i="5" s="1"/>
  <c r="AL20" i="2"/>
  <c r="G14" i="2"/>
  <c r="T5" i="2" s="1"/>
  <c r="L37" i="2"/>
  <c r="T50" i="4"/>
  <c r="T54" i="4" s="1"/>
  <c r="Z41" i="4"/>
  <c r="Z45" i="4" s="1"/>
  <c r="Z59" i="4"/>
  <c r="Z63" i="4" s="1"/>
  <c r="Q81" i="2" s="1"/>
  <c r="Q68" i="4"/>
  <c r="Q71" i="4" s="1"/>
  <c r="K84" i="5" s="1"/>
  <c r="AE43" i="4"/>
  <c r="AE46" i="4" s="1"/>
  <c r="Q59" i="4"/>
  <c r="Q63" i="4" s="1"/>
  <c r="AE42" i="4"/>
  <c r="AE45" i="4" s="1"/>
  <c r="X78" i="5" s="1"/>
  <c r="AB78" i="5" s="1"/>
  <c r="T59" i="4"/>
  <c r="T63" i="4" s="1"/>
  <c r="N26" i="2"/>
  <c r="AE52" i="4"/>
  <c r="AE64" i="4" s="1"/>
  <c r="X82" i="2" s="1"/>
  <c r="AB82" i="2" s="1"/>
  <c r="AE51" i="4"/>
  <c r="AE63" i="4" s="1"/>
  <c r="X81" i="2" s="1"/>
  <c r="AB81" i="2" s="1"/>
  <c r="AE60" i="4"/>
  <c r="N68" i="4"/>
  <c r="N71" i="4" s="1"/>
  <c r="H84" i="5" s="1"/>
  <c r="X84" i="5"/>
  <c r="AB84" i="5" s="1"/>
  <c r="K84" i="2"/>
  <c r="AE26" i="2"/>
  <c r="AL22" i="2"/>
  <c r="AP10" i="2"/>
  <c r="C29" i="5" l="1"/>
  <c r="S37" i="5"/>
  <c r="AN47" i="5" s="1"/>
  <c r="Q26" i="5"/>
  <c r="AP37" i="5"/>
  <c r="Z40" i="5"/>
  <c r="AF40" i="5" s="1"/>
  <c r="AN49" i="5"/>
  <c r="S37" i="2"/>
  <c r="AN47" i="2" s="1"/>
  <c r="Q50" i="2"/>
  <c r="AP37" i="2"/>
  <c r="K78" i="2"/>
  <c r="N84" i="5"/>
  <c r="N78" i="5"/>
  <c r="X78" i="2"/>
  <c r="AB78" i="2" s="1"/>
  <c r="X81" i="5"/>
  <c r="AB81" i="5" s="1"/>
  <c r="Q84" i="2"/>
  <c r="X82" i="5"/>
  <c r="AB82" i="5" s="1"/>
  <c r="Q81" i="5"/>
  <c r="H81" i="2"/>
  <c r="R19" i="4"/>
  <c r="H78" i="5"/>
  <c r="K81" i="5"/>
  <c r="K81" i="2"/>
  <c r="AL26" i="2"/>
  <c r="H40" i="2" s="1"/>
  <c r="S40" i="2" s="1"/>
  <c r="AN49" i="2" s="1"/>
  <c r="H84" i="2"/>
  <c r="X79" i="2"/>
  <c r="AB79" i="2" s="1"/>
  <c r="X79" i="5"/>
  <c r="AB79" i="5" s="1"/>
  <c r="AP32" i="2"/>
  <c r="C29" i="2"/>
  <c r="Q26" i="2"/>
  <c r="Q78" i="5"/>
  <c r="Q78" i="2"/>
  <c r="N81" i="5"/>
  <c r="N81" i="2"/>
  <c r="Z37" i="5" l="1"/>
  <c r="AF37" i="5" s="1"/>
  <c r="AK37" i="5" s="1"/>
  <c r="AX37" i="5" s="1"/>
  <c r="R55" i="5" s="1"/>
  <c r="B55" i="5"/>
  <c r="L55" i="2"/>
  <c r="O55" i="2" s="1"/>
  <c r="Q47" i="2"/>
  <c r="B55" i="2"/>
  <c r="V55" i="2" s="1"/>
  <c r="Y55" i="2" s="1"/>
  <c r="Z40" i="2"/>
  <c r="AF40" i="2" s="1"/>
  <c r="V55" i="5" l="1"/>
  <c r="Y55" i="5" s="1"/>
  <c r="AC64" i="5" s="1"/>
  <c r="E55" i="5"/>
  <c r="AP40" i="5"/>
  <c r="AZ45" i="5"/>
  <c r="AF84" i="5"/>
  <c r="AL84" i="5" s="1"/>
  <c r="AO84" i="5" s="1"/>
  <c r="AR84" i="5" s="1"/>
  <c r="AF85" i="5"/>
  <c r="AL85" i="5" s="1"/>
  <c r="AO85" i="5" s="1"/>
  <c r="AR85" i="5" s="1"/>
  <c r="AF79" i="5"/>
  <c r="AL79" i="5" s="1"/>
  <c r="AO79" i="5" s="1"/>
  <c r="AR79" i="5" s="1"/>
  <c r="AF78" i="5"/>
  <c r="AL78" i="5" s="1"/>
  <c r="AO78" i="5" s="1"/>
  <c r="AR78" i="5" s="1"/>
  <c r="AF82" i="5"/>
  <c r="AL82" i="5" s="1"/>
  <c r="AO82" i="5" s="1"/>
  <c r="AR82" i="5" s="1"/>
  <c r="AF81" i="5"/>
  <c r="AL81" i="5" s="1"/>
  <c r="AO81" i="5" s="1"/>
  <c r="AR81" i="5" s="1"/>
  <c r="V59" i="5" l="1"/>
  <c r="V60" i="5"/>
  <c r="E65" i="5"/>
  <c r="AC61" i="5"/>
  <c r="V64" i="5"/>
  <c r="V61" i="5"/>
  <c r="M61" i="5"/>
  <c r="M62" i="5"/>
  <c r="E61" i="5"/>
  <c r="V65" i="5"/>
  <c r="M65" i="5"/>
  <c r="AC65" i="5"/>
  <c r="E60" i="5"/>
  <c r="V62" i="5"/>
  <c r="M63" i="5"/>
  <c r="E63" i="5"/>
  <c r="AC63" i="5"/>
  <c r="V63" i="5"/>
  <c r="M64" i="5"/>
  <c r="AC60" i="5"/>
  <c r="AC62" i="5"/>
  <c r="E62" i="5"/>
  <c r="AI55" i="5"/>
  <c r="AM55" i="5" s="1"/>
  <c r="E59" i="5"/>
  <c r="AC59" i="5"/>
  <c r="M59" i="5"/>
  <c r="M60" i="5"/>
  <c r="E64" i="5"/>
  <c r="AY81" i="5"/>
  <c r="AY82" i="5"/>
  <c r="AY78" i="5"/>
  <c r="AY84" i="5"/>
  <c r="AY85" i="5"/>
  <c r="AY79" i="5"/>
  <c r="Z37" i="2"/>
  <c r="AF37" i="2" s="1"/>
  <c r="AK37" i="2" s="1"/>
  <c r="AP55" i="5" l="1"/>
  <c r="AS55" i="5" s="1"/>
  <c r="AW55" i="5" s="1"/>
  <c r="AZ55" i="5" s="1"/>
  <c r="AP40" i="2"/>
  <c r="N19" i="4"/>
  <c r="P19" i="4" s="1"/>
  <c r="E55" i="2"/>
  <c r="AX37" i="2"/>
  <c r="R55" i="2" s="1"/>
  <c r="AC65" i="2" l="1"/>
  <c r="AZ45" i="2"/>
  <c r="AF79" i="2"/>
  <c r="AF81" i="2"/>
  <c r="AF85" i="2"/>
  <c r="AF78" i="2"/>
  <c r="AF84" i="2"/>
  <c r="AF82" i="2"/>
  <c r="E59" i="2" l="1"/>
  <c r="E64" i="2"/>
  <c r="M65" i="2"/>
  <c r="AC61" i="2"/>
  <c r="V65" i="2"/>
  <c r="E65" i="2"/>
  <c r="M60" i="2"/>
  <c r="V60" i="2"/>
  <c r="AC60" i="2"/>
  <c r="E60" i="2"/>
  <c r="V61" i="2"/>
  <c r="AC62" i="2"/>
  <c r="M63" i="2"/>
  <c r="M61" i="2"/>
  <c r="E63" i="2"/>
  <c r="M59" i="2"/>
  <c r="V62" i="2"/>
  <c r="AC59" i="2"/>
  <c r="V59" i="2"/>
  <c r="M62" i="2"/>
  <c r="AC63" i="2"/>
  <c r="AC64" i="2"/>
  <c r="V63" i="2"/>
  <c r="M64" i="2"/>
  <c r="E61" i="2"/>
  <c r="E62" i="2"/>
  <c r="V64" i="2"/>
  <c r="AI55" i="2"/>
  <c r="AL82" i="2"/>
  <c r="AO82" i="2" s="1"/>
  <c r="AL84" i="2"/>
  <c r="AO84" i="2" s="1"/>
  <c r="AL78" i="2"/>
  <c r="AO78" i="2" s="1"/>
  <c r="AL85" i="2"/>
  <c r="AO85" i="2" s="1"/>
  <c r="AL81" i="2"/>
  <c r="AO81" i="2" s="1"/>
  <c r="AL79" i="2"/>
  <c r="AO79" i="2" s="1"/>
  <c r="AM55" i="2" l="1"/>
  <c r="AP55" i="2" s="1"/>
  <c r="AS55" i="2" s="1"/>
  <c r="AW55" i="2" s="1"/>
  <c r="AZ55" i="2" s="1"/>
  <c r="AY78" i="2"/>
  <c r="AR78" i="2"/>
  <c r="AY79" i="2"/>
  <c r="AR79" i="2"/>
  <c r="AR81" i="2"/>
  <c r="AY81" i="2"/>
  <c r="AY84" i="2"/>
  <c r="AR84" i="2"/>
  <c r="AR85" i="2"/>
  <c r="AY85" i="2"/>
  <c r="AR82" i="2"/>
  <c r="AY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Celine</author>
    <author>Utilisateur</author>
    <author>PRO</author>
    <author>UNSA</author>
  </authors>
  <commentList>
    <comment ref="AE10" authorId="0" shapeId="0" xr:uid="{0B2408EF-26C0-48FC-8A82-79F3D1FCC543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12" authorId="1" shapeId="0" xr:uid="{18947827-D372-487B-8784-853F9785DA18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Saisie Exclusivement nombre en entier (pas de demi semaine possible)</t>
        </r>
      </text>
    </comment>
    <comment ref="AW18" authorId="2" shapeId="0" xr:uid="{4032633E-6F13-4A42-8814-E3B0C7E108A8}">
      <text>
        <r>
          <rPr>
            <sz val="9"/>
            <color indexed="81"/>
            <rFont val="Tahoma"/>
            <family val="2"/>
          </rPr>
          <t>En cas d’année incomplète et si salaire mensualisé congés payés inclus, saisir 0</t>
        </r>
      </text>
    </comment>
    <comment ref="AH26" authorId="2" shapeId="0" xr:uid="{3BAE8D53-9D37-4141-B310-E435D4BE0818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1" shapeId="0" xr:uid="{7B8DACCB-85EA-4D52-8569-C2C2C759A32A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0" shapeId="0" xr:uid="{FD8B558E-0A19-49E4-B686-5BF53864015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0CE67821-ACE9-49AD-805C-0C9246D7CE73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0" shapeId="0" xr:uid="{5AD19756-E8BB-4596-A496-0B4CC2A19DC3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0" shapeId="0" xr:uid="{B79DC780-1958-4F88-BB3D-661F94344C52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04C9D649-B861-47BF-9359-11147B76FF0B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0" shapeId="0" xr:uid="{900126AF-E7A4-4E50-BEFC-2ED67148CE27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0" shapeId="0" xr:uid="{79636BB3-D388-4F4C-B784-6DCACE0AAC34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  <author>Celine</author>
    <author>PRO</author>
    <author>UNSA</author>
  </authors>
  <commentList>
    <comment ref="AE3" authorId="0" shapeId="0" xr:uid="{95834A92-7798-4691-91B3-ED169253E173}">
      <text>
        <r>
          <rPr>
            <sz val="9"/>
            <color indexed="81"/>
            <rFont val="Tahoma"/>
            <family val="2"/>
          </rPr>
          <t xml:space="preserve">
Saisir date début de contrat au format jj/mm/aaaa
</t>
        </r>
      </text>
    </comment>
    <comment ref="AM3" authorId="0" shapeId="0" xr:uid="{3C35CCDC-EB67-4CA3-A042-A1E6B50B87EA}">
      <text>
        <r>
          <rPr>
            <sz val="9"/>
            <color indexed="81"/>
            <rFont val="Tahoma"/>
            <family val="2"/>
          </rPr>
          <t xml:space="preserve">
Saisir date fin de contrat  au format jj/mm/aaaa</t>
        </r>
      </text>
    </comment>
    <comment ref="AE10" authorId="1" shapeId="0" xr:uid="{6AB6246D-BEDC-4BD8-8780-10836D407D35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26" authorId="2" shapeId="0" xr:uid="{71D1A99D-80B3-4B7C-ADF6-90F59E6FE06D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0" shapeId="0" xr:uid="{55342200-990A-4088-BEDB-D7DA07B989B9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1" shapeId="0" xr:uid="{036D9904-09B6-4B4B-B59B-7A5DD83C460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98BD35AA-9D3E-44D1-A639-49B9FA5D1B6A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1" shapeId="0" xr:uid="{79A1BCB4-BC2C-4F4F-B056-13A7B599F9BD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1" shapeId="0" xr:uid="{BB35ECA9-33D5-4619-97B2-1BADA4D5AA80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EAD03885-2BBD-444C-80A4-98768F2AA647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1" shapeId="0" xr:uid="{B4EF2F79-21F7-45F5-A44F-AAFC6CEA618A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1" shapeId="0" xr:uid="{B8F6F8E5-D6CB-4393-9827-2C1C250874ED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sharedStrings.xml><?xml version="1.0" encoding="utf-8"?>
<sst xmlns="http://schemas.openxmlformats.org/spreadsheetml/2006/main" count="424" uniqueCount="199">
  <si>
    <t>Taux horaire brut  de base  :</t>
  </si>
  <si>
    <t>Lundi</t>
  </si>
  <si>
    <t>Mardi</t>
  </si>
  <si>
    <t>Mercredi</t>
  </si>
  <si>
    <t>Jeudi</t>
  </si>
  <si>
    <t>Vendredi</t>
  </si>
  <si>
    <t>Samedi</t>
  </si>
  <si>
    <t>Dimanche</t>
  </si>
  <si>
    <t>http://www.ameli.fr/employeurs/vos-demarches/chiffres-utiles/plafond-de-la-securite-sociale.php</t>
  </si>
  <si>
    <t>Taux horaire net  de base  :</t>
  </si>
  <si>
    <t xml:space="preserve">Nombre de semaines prévues travaillées </t>
  </si>
  <si>
    <t>Nombre d'heures hebdomadaires</t>
  </si>
  <si>
    <t>Nombre de mois</t>
  </si>
  <si>
    <t>Total heures mensualisées</t>
  </si>
  <si>
    <t>Tarif horaire brut</t>
  </si>
  <si>
    <t>Nombre d'heures hebdomadaires contractuelles</t>
  </si>
  <si>
    <t>Taux cotisations salariales</t>
  </si>
  <si>
    <t xml:space="preserve">Nbre de semaines prévues au contrat </t>
  </si>
  <si>
    <t>x</t>
  </si>
  <si>
    <t xml:space="preserve"> /</t>
  </si>
  <si>
    <t xml:space="preserve"> =</t>
  </si>
  <si>
    <t>1 enfant</t>
  </si>
  <si>
    <t>2 enfants</t>
  </si>
  <si>
    <t>3 enfants</t>
  </si>
  <si>
    <t>Temps d'accueil par jour</t>
  </si>
  <si>
    <t>Nbre heures normales</t>
  </si>
  <si>
    <t>Total heures par semaine</t>
  </si>
  <si>
    <t>Nbre heures sup</t>
  </si>
  <si>
    <t>Moyenne</t>
  </si>
  <si>
    <t>NON</t>
  </si>
  <si>
    <t>Bénéficiez-vous du régime Haut Rhin, Bas Rhin, Moselle ?</t>
  </si>
  <si>
    <t>Supplémentaires au-delà de la 45ème heure</t>
  </si>
  <si>
    <t>Inférieur ou égal à 45h</t>
  </si>
  <si>
    <t>Reste à charge annuel</t>
  </si>
  <si>
    <t>mensuel</t>
  </si>
  <si>
    <t>annuel</t>
  </si>
  <si>
    <t>Salaire net reste à charge 15 % mini</t>
  </si>
  <si>
    <t>Déclaration  PAJEMPLOI</t>
  </si>
  <si>
    <t>Nbre de jours par semaine</t>
  </si>
  <si>
    <t>Au-delà de 3 enfants</t>
  </si>
  <si>
    <t>https://www.caf.fr/aides-et-services/s-informer-sur-les-aides/petite-enfance/le-complement-de-libre-choix-du-mode-de-garde</t>
  </si>
  <si>
    <t>Salaire brut mensualisé</t>
  </si>
  <si>
    <t>IE convention</t>
  </si>
  <si>
    <t>Estimation</t>
  </si>
  <si>
    <t>IE annuelles</t>
  </si>
  <si>
    <t xml:space="preserve">Plafond maximum Crédit d'impôt </t>
  </si>
  <si>
    <t>Nom &amp; prénom de l'enfant</t>
  </si>
  <si>
    <t>Date de naissance</t>
  </si>
  <si>
    <t>vérif</t>
  </si>
  <si>
    <t>Remboursement annuel maximum</t>
  </si>
  <si>
    <t>Congés payés, congés sans solde ou supplémentaires de l'AssMat</t>
  </si>
  <si>
    <t>Semaine 1</t>
  </si>
  <si>
    <t>Semaine 2</t>
  </si>
  <si>
    <t>Semaine 3</t>
  </si>
  <si>
    <t>Semaine 4</t>
  </si>
  <si>
    <t>Semaine 5</t>
  </si>
  <si>
    <t>Semaine 6</t>
  </si>
  <si>
    <t xml:space="preserve">oui </t>
  </si>
  <si>
    <t>Cotisations salariales et patronales</t>
  </si>
  <si>
    <t>non</t>
  </si>
  <si>
    <t>A remplir obligatoirement</t>
  </si>
  <si>
    <t>COTISATIONS SALARIALES :</t>
  </si>
  <si>
    <t>Part salariale</t>
  </si>
  <si>
    <t>Part salariale Alsace Moselle</t>
  </si>
  <si>
    <t>%</t>
  </si>
  <si>
    <r>
      <t xml:space="preserve">Sécurité Sociale </t>
    </r>
    <r>
      <rPr>
        <i/>
        <sz val="9"/>
        <rFont val="Arial"/>
        <family val="2"/>
        <charset val="1"/>
      </rPr>
      <t>(sur 100% du salaire)</t>
    </r>
  </si>
  <si>
    <r>
      <t xml:space="preserve">Retraite IRCEM </t>
    </r>
    <r>
      <rPr>
        <i/>
        <sz val="9"/>
        <rFont val="Arial"/>
        <family val="2"/>
        <charset val="1"/>
      </rPr>
      <t>(sur 100% du salaire)</t>
    </r>
  </si>
  <si>
    <r>
      <t xml:space="preserve">Prévoyance IRCEM </t>
    </r>
    <r>
      <rPr>
        <i/>
        <sz val="9"/>
        <rFont val="Arial"/>
        <family val="2"/>
        <charset val="1"/>
      </rPr>
      <t>(sur 100% du salaire)</t>
    </r>
  </si>
  <si>
    <r>
      <t xml:space="preserve">Assurance Chômage </t>
    </r>
    <r>
      <rPr>
        <i/>
        <sz val="9"/>
        <rFont val="Arial"/>
        <family val="2"/>
        <charset val="1"/>
      </rPr>
      <t>(sur 100% du salaire)</t>
    </r>
  </si>
  <si>
    <r>
      <t xml:space="preserve">CSG + CRDS imposable </t>
    </r>
    <r>
      <rPr>
        <i/>
        <sz val="9"/>
        <rFont val="Arial"/>
        <family val="2"/>
        <charset val="1"/>
      </rPr>
      <t>(sur 98,25% du salaire de base)</t>
    </r>
  </si>
  <si>
    <r>
      <t>CSG déductible</t>
    </r>
    <r>
      <rPr>
        <i/>
        <sz val="9"/>
        <rFont val="Arial"/>
        <family val="2"/>
        <charset val="1"/>
      </rPr>
      <t xml:space="preserve"> (sur 98,25% du salaire de base)</t>
    </r>
  </si>
  <si>
    <t>Taux charges salariale</t>
  </si>
  <si>
    <t>Part patronale des cotisations sociales</t>
  </si>
  <si>
    <t>TAUX</t>
  </si>
  <si>
    <t>http://www.pajemploi.urssaf.fr/pajewebinfo/cms/sites/pajewebinfo/accueil/employeur-dassistante-maternelle/je-minforme/le-cout-de-la-garde.html#bd1068ac-84c6-4f88-adbb-abf949ddc967</t>
  </si>
  <si>
    <t>Prise en charge CAF (PAJE) ou à régler URSSAF</t>
  </si>
  <si>
    <t>RETRAITE COMPLEMENTAIRE</t>
  </si>
  <si>
    <t>AGFF</t>
  </si>
  <si>
    <t>ASSEDIC</t>
  </si>
  <si>
    <t>PREVOYANCE</t>
  </si>
  <si>
    <t>FORMATION PROFESSIONNELLE</t>
  </si>
  <si>
    <t>Contributions syndicales</t>
  </si>
  <si>
    <t>Liens sources</t>
  </si>
  <si>
    <t>https://www.insee.fr/fr/statistiques/1375188</t>
  </si>
  <si>
    <t>CAF</t>
  </si>
  <si>
    <t>Taux smic</t>
  </si>
  <si>
    <t>Plafond</t>
  </si>
  <si>
    <t>Cotisations</t>
  </si>
  <si>
    <t>http://www.efl.fr/chiffres-taux/social/salaire/taux_cot.html</t>
  </si>
  <si>
    <t>*maladie vieillesse déplafonné et plafonné  alloc fami accident t FNAL</t>
  </si>
  <si>
    <t>SECURITE SOCIALE + CSA + FNAL*</t>
  </si>
  <si>
    <t>Indemnités d'entretien &amp; repas</t>
  </si>
  <si>
    <t>Vous êtes sur un planning variable à</t>
  </si>
  <si>
    <t>semaines</t>
  </si>
  <si>
    <t xml:space="preserve">Indemnités d'entretien </t>
  </si>
  <si>
    <t xml:space="preserve">Indemnités de nourriture </t>
  </si>
  <si>
    <t>OUI</t>
  </si>
  <si>
    <t>Nom &amp; prénom du salarié</t>
  </si>
  <si>
    <t>Total salaire net mensuel</t>
  </si>
  <si>
    <t>Total salaire net ANNUEL</t>
  </si>
  <si>
    <t>=</t>
  </si>
  <si>
    <t>Totaux</t>
  </si>
  <si>
    <t xml:space="preserve">LES INDEMNITES </t>
  </si>
  <si>
    <t>Par jour</t>
  </si>
  <si>
    <t>Inférieurs à</t>
  </si>
  <si>
    <t>Ne dépassant pas</t>
  </si>
  <si>
    <t>Supérieurs à</t>
  </si>
  <si>
    <t>- de 3 ans</t>
  </si>
  <si>
    <t>de 3 ans à 6 ans</t>
  </si>
  <si>
    <t>+</t>
  </si>
  <si>
    <t>Inférieurs à + majoration 40%</t>
  </si>
  <si>
    <t>Age de l'enfant à étude</t>
  </si>
  <si>
    <t>Date de naissance  de l'enfant à étude</t>
  </si>
  <si>
    <t>Brut en net vice /versa</t>
  </si>
  <si>
    <t xml:space="preserve">Brut </t>
  </si>
  <si>
    <t>Net</t>
  </si>
  <si>
    <t xml:space="preserve">Taux smic </t>
  </si>
  <si>
    <t xml:space="preserve">Légende: </t>
  </si>
  <si>
    <t>Ne pas toucher</t>
  </si>
  <si>
    <t>Cellules à modifier</t>
  </si>
  <si>
    <t>*Inférieurs à</t>
  </si>
  <si>
    <t>*Ne dépassant pas</t>
  </si>
  <si>
    <t>*Supérieurs à</t>
  </si>
  <si>
    <t>Majoration 40%-Ne pas toucher</t>
  </si>
  <si>
    <t>4 enfants</t>
  </si>
  <si>
    <t>Ligne de vérification-1-2-3</t>
  </si>
  <si>
    <t>ICI</t>
  </si>
  <si>
    <t xml:space="preserve">Crédit d'impôt 50 % </t>
  </si>
  <si>
    <t xml:space="preserve">Salaire net annuel + IE moins le remboursement </t>
  </si>
  <si>
    <t>Montant mensuel maximum de la prise en charge</t>
  </si>
  <si>
    <t>Reste à charge mensuel Après impôts</t>
  </si>
  <si>
    <t>Estimation du coût de revient mensuel de l'Assistant maternel</t>
  </si>
  <si>
    <r>
      <t xml:space="preserve">Taux Référence </t>
    </r>
    <r>
      <rPr>
        <b/>
        <sz val="11"/>
        <color indexed="10"/>
        <rFont val="Cambria"/>
        <family val="1"/>
      </rPr>
      <t>SMIC</t>
    </r>
    <r>
      <rPr>
        <b/>
        <sz val="11"/>
        <rFont val="Cambria"/>
        <family val="1"/>
      </rPr>
      <t xml:space="preserve"> par Hrs</t>
    </r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</si>
  <si>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ci dessus </t>
    </r>
  </si>
  <si>
    <r>
      <t xml:space="preserve">Majoration des heures </t>
    </r>
    <r>
      <rPr>
        <b/>
        <sz val="10"/>
        <rFont val="Cambria"/>
        <family val="1"/>
      </rPr>
      <t>complémentaires &amp; supplémentaires:</t>
    </r>
  </si>
  <si>
    <t xml:space="preserve">Nombre de semaines prévues travaillées/an </t>
  </si>
  <si>
    <t xml:space="preserve">En savoir plus : </t>
  </si>
  <si>
    <r>
      <t>Semaines à déduire en cas d'</t>
    </r>
    <r>
      <rPr>
        <b/>
        <sz val="10"/>
        <color indexed="56"/>
        <rFont val="Cambria"/>
        <family val="1"/>
      </rPr>
      <t>année incomplète</t>
    </r>
    <r>
      <rPr>
        <sz val="10"/>
        <color indexed="56"/>
        <rFont val="Cambria"/>
        <family val="1"/>
      </rPr>
      <t xml:space="preserve"> </t>
    </r>
    <r>
      <rPr>
        <sz val="8"/>
        <color indexed="56"/>
        <rFont val="Cambria"/>
        <family val="1"/>
      </rPr>
      <t>(2)</t>
    </r>
  </si>
  <si>
    <t>CALCUL DE MENSUALISATION  ET RESTE A CHARGE EMPLOYEUR</t>
  </si>
  <si>
    <t xml:space="preserve"> </t>
  </si>
  <si>
    <r>
      <t>CEG (ex AGFF)</t>
    </r>
    <r>
      <rPr>
        <i/>
        <sz val="9"/>
        <rFont val="Arial"/>
        <family val="2"/>
        <charset val="1"/>
      </rPr>
      <t xml:space="preserve"> (sur 100% du salaire)</t>
    </r>
  </si>
  <si>
    <t>Nbre de semaines</t>
  </si>
  <si>
    <t xml:space="preserve">CDI :Nombre de semaines dans l'année </t>
  </si>
  <si>
    <t>CDD :Nombre de semaines du la durée Totale du CDD - semaines d'absences comprises</t>
  </si>
  <si>
    <t>DATE DEBUT DU CDD</t>
  </si>
  <si>
    <t>DATE FIN DU CDD</t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</si>
  <si>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payés</t>
    </r>
  </si>
  <si>
    <t>Enfant né a partir du 1er avril 2015</t>
  </si>
  <si>
    <t>Enfant né avant le 1er avril 2015</t>
  </si>
  <si>
    <t>CDI</t>
  </si>
  <si>
    <t>CDD</t>
  </si>
  <si>
    <t>Plafond de ressources</t>
  </si>
  <si>
    <t>Taux charges salariale pour Heures Sup</t>
  </si>
  <si>
    <t>CDI HS</t>
  </si>
  <si>
    <t>CDD HS</t>
  </si>
  <si>
    <t>https://www.caf.fr/allocataires/aides-et-demarches/droits-et-prestations/vie-personnelle/le-complement-de-libre-choix-du-mode-de-garde-cmg</t>
  </si>
  <si>
    <t>Ressources annuelles 2023*
Jusqu’au 31/12/2025</t>
  </si>
  <si>
    <t>Indemnités par jour</t>
  </si>
  <si>
    <t>Indemnité mensuelle</t>
  </si>
  <si>
    <t>Cout Mensuel d'accueil Plafonné</t>
  </si>
  <si>
    <t>Cout Horaire d'accueil Plafonné</t>
  </si>
  <si>
    <t>Cout Horaire de référence</t>
  </si>
  <si>
    <t>Le complément de libre choix du mode de garde (CMG)
ATTENTION, il s'agit d'un calcul mensuel moyen pour estimation</t>
  </si>
  <si>
    <t>Ressources mensuelles</t>
  </si>
  <si>
    <t>CMG depuis 01/09/2025</t>
  </si>
  <si>
    <t>Plafond Cout Horaire</t>
  </si>
  <si>
    <t>Cout Horaire de Référence</t>
  </si>
  <si>
    <t>0,0619% - 1 enfant</t>
  </si>
  <si>
    <t>Ressources mensuelles
SAISIE</t>
  </si>
  <si>
    <t>Montant du CMG</t>
  </si>
  <si>
    <t>Tableau selon les ressources mensuelles</t>
  </si>
  <si>
    <t>Montant CMG</t>
  </si>
  <si>
    <t>Crédit d'impôt 
50 %</t>
  </si>
  <si>
    <t>Rémunération nette mensuelle</t>
  </si>
  <si>
    <t>Taux d'effort - SELECT.</t>
  </si>
  <si>
    <t>0,0516% - 2 enfants</t>
  </si>
  <si>
    <t>0,0413% - 3 enfants</t>
  </si>
  <si>
    <t>0,0310% - 4 à 7</t>
  </si>
  <si>
    <t>0,0206% - 8 et +</t>
  </si>
  <si>
    <t>Nb de jours par mois d'indemnité</t>
  </si>
  <si>
    <t>Total par mois</t>
  </si>
  <si>
    <t>Estimation du nombre de jours mensuels</t>
  </si>
  <si>
    <t>Salaire net annuel + IE (12 mois) - CMG</t>
  </si>
  <si>
    <t>CMG annuel (12 mois)</t>
  </si>
  <si>
    <t>Reste à charge mensuel après crédit d'impôt</t>
  </si>
  <si>
    <t>https://www.urssaf.fr/accueil/outils-documentation/simulateurs/calculer-reste-a-charge-cmg-pe.html</t>
  </si>
  <si>
    <t>Accéder au Simulateur URSSAF :</t>
  </si>
  <si>
    <t>----------------------------------------------------------------------------------   ANCIENNE VERSION ----------------------------------------------------------------------------------------------------------------------------------------------------------------------------------------------------------------------</t>
  </si>
  <si>
    <t>Le complément de libre choix du mode de garde (CMG) - AVANT Sept 2025</t>
  </si>
  <si>
    <t>Date barème</t>
  </si>
  <si>
    <t>Saisie par l'employeur</t>
  </si>
  <si>
    <t>Nombre d'heures normales lissées (inclus heures de CP)</t>
  </si>
  <si>
    <t>Nb d'heures d'accueil du mois + CP</t>
  </si>
  <si>
    <t>Cout Mensuel d'accueil (Sal + Ind + CP)</t>
  </si>
  <si>
    <t>Votre montant hor NET Sal. + Indem. + CP</t>
  </si>
  <si>
    <t>CMG annuel</t>
  </si>
  <si>
    <t>Salaire net annuel + IE - CMG</t>
  </si>
  <si>
    <t>Nombre d'heures supplémentaires lissées (inclus CP)</t>
  </si>
  <si>
    <t>Copyright 2026  -  Propriété ANAMAAF &amp; CASAMAAF  - 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</si>
</sst>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h]:mm"/>
    <numFmt numFmtId="166" formatCode="0.000%"/>
    <numFmt numFmtId="167" formatCode="0.0000"/>
    <numFmt numFmtId="168" formatCode="#,##0\ &quot;€&quot;"/>
    <numFmt numFmtId="169" formatCode="0&quot; jrs&quot;"/>
    <numFmt numFmtId="170" formatCode="0&quot; hrs&quot;"/>
    <numFmt numFmtId="171" formatCode="0.000"/>
    <numFmt numFmtId="172" formatCode="dd/mm/yy;@"/>
    <numFmt numFmtId="173" formatCode="_-* #,##0.00,\€_-;\-* #,##0.00,\€_-;_-* \-??&quot; €&quot;_-;_-@_-"/>
    <numFmt numFmtId="174" formatCode="_-* #,##0.00\ &quot;€&quot;_-;\-* #,##0.00\ &quot;€&quot;_-;_-* &quot;-&quot;????\ &quot;€&quot;_-;_-@_-"/>
    <numFmt numFmtId="175" formatCode="0.0000%"/>
    <numFmt numFmtId="176" formatCode="_-* #,##0\ &quot;€&quot;_-;\-* #,##0\ &quot;€&quot;_-;_-* &quot;-&quot;??\ &quot;€&quot;_-;_-@_-"/>
  </numFmts>
  <fonts count="9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1"/>
      <name val="Cambria"/>
      <family val="1"/>
    </font>
    <font>
      <b/>
      <sz val="9"/>
      <color indexed="81"/>
      <name val="Cambria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9"/>
      <color indexed="81"/>
      <name val="Arial"/>
      <family val="2"/>
    </font>
    <font>
      <sz val="10"/>
      <color indexed="10"/>
      <name val="Arial"/>
      <family val="2"/>
      <charset val="1"/>
    </font>
    <font>
      <u/>
      <sz val="10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sz val="11"/>
      <color indexed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9"/>
      <color indexed="10"/>
      <name val="Tahoma"/>
      <family val="2"/>
    </font>
    <font>
      <u/>
      <sz val="9"/>
      <color indexed="81"/>
      <name val="Tahoma"/>
      <family val="2"/>
    </font>
    <font>
      <sz val="9"/>
      <color indexed="10"/>
      <name val="Tahoma"/>
      <family val="2"/>
    </font>
    <font>
      <u/>
      <sz val="9"/>
      <color indexed="10"/>
      <name val="Tahoma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Cambria"/>
      <family val="1"/>
    </font>
    <font>
      <b/>
      <sz val="11"/>
      <color indexed="10"/>
      <name val="Cambria"/>
      <family val="1"/>
    </font>
    <font>
      <b/>
      <sz val="11"/>
      <name val="Arial"/>
      <family val="2"/>
    </font>
    <font>
      <sz val="9"/>
      <color indexed="56"/>
      <name val="Cambria"/>
      <family val="1"/>
    </font>
    <font>
      <b/>
      <sz val="9"/>
      <color indexed="56"/>
      <name val="Cambria"/>
      <family val="1"/>
    </font>
    <font>
      <b/>
      <sz val="10"/>
      <color indexed="56"/>
      <name val="Cambria"/>
      <family val="1"/>
    </font>
    <font>
      <sz val="10"/>
      <color indexed="56"/>
      <name val="Cambria"/>
      <family val="1"/>
    </font>
    <font>
      <sz val="8"/>
      <color indexed="56"/>
      <name val="Cambria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indexed="8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B0F0"/>
      <name val="Arial"/>
      <family val="2"/>
    </font>
    <font>
      <sz val="10"/>
      <color theme="9"/>
      <name val="Arial"/>
      <family val="2"/>
      <charset val="1"/>
    </font>
    <font>
      <b/>
      <sz val="10"/>
      <color theme="3"/>
      <name val="Cambria"/>
      <family val="1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name val="Cambria"/>
      <family val="1"/>
      <scheme val="major"/>
    </font>
    <font>
      <b/>
      <sz val="10"/>
      <color theme="0"/>
      <name val="Arial"/>
      <family val="2"/>
    </font>
    <font>
      <sz val="11"/>
      <color theme="3"/>
      <name val="Arial"/>
      <family val="2"/>
    </font>
    <font>
      <sz val="10"/>
      <color theme="3"/>
      <name val="Arial"/>
      <family val="2"/>
    </font>
    <font>
      <sz val="10"/>
      <color theme="9" tint="-0.499984740745262"/>
      <name val="Arial"/>
      <family val="2"/>
    </font>
    <font>
      <sz val="12"/>
      <color rgb="FF303030"/>
      <name val="Arial"/>
      <family val="2"/>
    </font>
    <font>
      <sz val="10"/>
      <color theme="3"/>
      <name val="Cambria"/>
      <family val="1"/>
      <scheme val="major"/>
    </font>
    <font>
      <b/>
      <i/>
      <u/>
      <sz val="10"/>
      <color theme="3" tint="-0.499984740745262"/>
      <name val="Arial"/>
      <family val="2"/>
    </font>
    <font>
      <sz val="9"/>
      <color theme="3"/>
      <name val="Arial"/>
      <family val="2"/>
    </font>
    <font>
      <sz val="10"/>
      <color theme="3" tint="-0.499984740745262"/>
      <name val="Arial"/>
      <family val="2"/>
    </font>
    <font>
      <sz val="11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sz val="11"/>
      <color theme="3" tint="-0.499984740745262"/>
      <name val="Cambria"/>
      <family val="1"/>
      <scheme val="major"/>
    </font>
    <font>
      <sz val="10"/>
      <color theme="3" tint="-0.499984740745262"/>
      <name val="Cambria"/>
      <family val="1"/>
      <scheme val="major"/>
    </font>
    <font>
      <sz val="9"/>
      <color theme="3"/>
      <name val="Cambria"/>
      <family val="1"/>
      <scheme val="major"/>
    </font>
    <font>
      <b/>
      <sz val="10"/>
      <color theme="3" tint="-0.499984740745262"/>
      <name val="Cambria"/>
      <family val="1"/>
    </font>
    <font>
      <b/>
      <sz val="8"/>
      <color theme="3" tint="-0.499984740745262"/>
      <name val="Cambria"/>
      <family val="1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8"/>
      <color theme="3" tint="-0.499984740745262"/>
      <name val="Cambria"/>
      <family val="1"/>
      <scheme val="major"/>
    </font>
    <font>
      <b/>
      <sz val="10"/>
      <color theme="3"/>
      <name val="Arial"/>
      <family val="2"/>
    </font>
    <font>
      <sz val="9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sz val="9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b/>
      <sz val="14"/>
      <color theme="4"/>
      <name val="Arial"/>
      <family val="2"/>
    </font>
    <font>
      <b/>
      <sz val="11"/>
      <color theme="3" tint="-0.499984740745262"/>
      <name val="Cambria"/>
      <family val="1"/>
      <scheme val="major"/>
    </font>
    <font>
      <sz val="9"/>
      <color theme="3" tint="-0.499984740745262"/>
      <name val="Cambria"/>
      <family val="1"/>
      <scheme val="major"/>
    </font>
    <font>
      <b/>
      <i/>
      <u/>
      <sz val="11"/>
      <color theme="3" tint="-0.499984740745262"/>
      <name val="Cambria"/>
      <family val="1"/>
      <scheme val="major"/>
    </font>
    <font>
      <b/>
      <sz val="8"/>
      <color theme="3"/>
      <name val="Arial"/>
      <family val="2"/>
    </font>
    <font>
      <b/>
      <sz val="9"/>
      <color theme="3"/>
      <name val="Arial"/>
      <family val="2"/>
    </font>
    <font>
      <sz val="8"/>
      <color rgb="FF000000"/>
      <name val="Segoe UI"/>
      <family val="2"/>
    </font>
    <font>
      <b/>
      <sz val="10"/>
      <color theme="3" tint="-0.499984740745262"/>
      <name val="Arial"/>
      <family val="2"/>
    </font>
    <font>
      <b/>
      <sz val="9"/>
      <name val="Cambria"/>
      <family val="1"/>
      <scheme val="major"/>
    </font>
    <font>
      <i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4"/>
        <bgColor indexed="29"/>
      </patternFill>
    </fill>
    <fill>
      <patternFill patternType="solid">
        <fgColor indexed="4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52"/>
        <bgColor indexed="47"/>
      </patternFill>
    </fill>
    <fill>
      <patternFill patternType="solid">
        <fgColor indexed="29"/>
        <bgColor indexed="50"/>
      </patternFill>
    </fill>
    <fill>
      <patternFill patternType="solid">
        <fgColor indexed="47"/>
        <bgColor indexed="51"/>
      </patternFill>
    </fill>
    <fill>
      <patternFill patternType="solid">
        <fgColor indexed="49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4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29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55"/>
      </patternFill>
    </fill>
    <fill>
      <patternFill patternType="solid">
        <fgColor theme="4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9">
    <xf numFmtId="0" fontId="0" fillId="0" borderId="0"/>
    <xf numFmtId="173" fontId="21" fillId="0" borderId="0" applyFill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21" fillId="0" borderId="0" applyFill="0" applyBorder="0" applyProtection="0"/>
  </cellStyleXfs>
  <cellXfs count="733">
    <xf numFmtId="0" fontId="0" fillId="0" borderId="0" xfId="0"/>
    <xf numFmtId="0" fontId="0" fillId="0" borderId="0" xfId="0" applyProtection="1">
      <protection hidden="1"/>
    </xf>
    <xf numFmtId="0" fontId="43" fillId="0" borderId="0" xfId="4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44" fontId="44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46" fillId="0" borderId="0" xfId="4" applyFont="1" applyAlignment="1" applyProtection="1">
      <alignment horizontal="center" vertical="center"/>
      <protection hidden="1"/>
    </xf>
    <xf numFmtId="165" fontId="47" fillId="0" borderId="0" xfId="4" applyNumberFormat="1" applyFont="1" applyAlignment="1" applyProtection="1">
      <alignment horizontal="center" vertical="center"/>
      <protection hidden="1"/>
    </xf>
    <xf numFmtId="0" fontId="48" fillId="0" borderId="0" xfId="4" applyFont="1" applyAlignment="1" applyProtection="1">
      <alignment horizontal="left" vertical="center"/>
      <protection hidden="1"/>
    </xf>
    <xf numFmtId="0" fontId="46" fillId="0" borderId="0" xfId="4" applyFont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vertical="top" wrapText="1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164" fontId="45" fillId="0" borderId="0" xfId="0" applyNumberFormat="1" applyFont="1" applyAlignment="1" applyProtection="1">
      <alignment horizontal="center" vertical="center"/>
      <protection hidden="1"/>
    </xf>
    <xf numFmtId="0" fontId="5" fillId="0" borderId="0" xfId="2" applyAlignment="1" applyProtection="1"/>
    <xf numFmtId="0" fontId="45" fillId="0" borderId="1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50" fillId="0" borderId="0" xfId="0" applyFont="1" applyAlignment="1" applyProtection="1">
      <alignment vertical="center"/>
      <protection hidden="1"/>
    </xf>
    <xf numFmtId="44" fontId="0" fillId="0" borderId="0" xfId="3" applyFont="1" applyAlignment="1">
      <alignment horizontal="center" vertical="center"/>
    </xf>
    <xf numFmtId="0" fontId="45" fillId="0" borderId="3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left" vertical="center" wrapText="1"/>
      <protection hidden="1"/>
    </xf>
    <xf numFmtId="0" fontId="45" fillId="0" borderId="2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5" fillId="0" borderId="3" xfId="0" applyFont="1" applyBorder="1" applyAlignment="1" applyProtection="1">
      <alignment vertical="center"/>
      <protection hidden="1"/>
    </xf>
    <xf numFmtId="0" fontId="45" fillId="0" borderId="1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5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2" borderId="0" xfId="0" applyFill="1"/>
    <xf numFmtId="0" fontId="0" fillId="3" borderId="0" xfId="0" applyFill="1"/>
    <xf numFmtId="0" fontId="0" fillId="3" borderId="5" xfId="0" applyFill="1" applyBorder="1"/>
    <xf numFmtId="0" fontId="17" fillId="3" borderId="0" xfId="0" applyFont="1" applyFill="1"/>
    <xf numFmtId="0" fontId="18" fillId="4" borderId="6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5" borderId="8" xfId="0" applyFill="1" applyBorder="1" applyAlignment="1" applyProtection="1">
      <alignment horizontal="center"/>
      <protection hidden="1"/>
    </xf>
    <xf numFmtId="10" fontId="0" fillId="5" borderId="8" xfId="0" applyNumberForma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9" fillId="0" borderId="4" xfId="0" applyFont="1" applyBorder="1" applyProtection="1">
      <protection hidden="1"/>
    </xf>
    <xf numFmtId="0" fontId="19" fillId="0" borderId="0" xfId="0" applyFont="1" applyProtection="1">
      <protection hidden="1"/>
    </xf>
    <xf numFmtId="173" fontId="0" fillId="0" borderId="9" xfId="1" applyFont="1" applyFill="1" applyBorder="1" applyProtection="1">
      <protection hidden="1"/>
    </xf>
    <xf numFmtId="10" fontId="0" fillId="2" borderId="0" xfId="8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6" borderId="0" xfId="0" applyFill="1"/>
    <xf numFmtId="173" fontId="0" fillId="0" borderId="10" xfId="1" applyFont="1" applyFill="1" applyBorder="1" applyProtection="1">
      <protection hidden="1"/>
    </xf>
    <xf numFmtId="0" fontId="0" fillId="7" borderId="0" xfId="0" applyFill="1" applyProtection="1">
      <protection hidden="1"/>
    </xf>
    <xf numFmtId="0" fontId="22" fillId="0" borderId="0" xfId="2" applyNumberFormat="1" applyFont="1" applyFill="1" applyBorder="1" applyAlignment="1" applyProtection="1"/>
    <xf numFmtId="0" fontId="23" fillId="2" borderId="5" xfId="0" applyFont="1" applyFill="1" applyBorder="1"/>
    <xf numFmtId="10" fontId="24" fillId="8" borderId="11" xfId="1" applyNumberFormat="1" applyFont="1" applyFill="1" applyBorder="1" applyAlignment="1" applyProtection="1">
      <alignment horizontal="center" vertical="center"/>
      <protection hidden="1"/>
    </xf>
    <xf numFmtId="167" fontId="0" fillId="8" borderId="11" xfId="8" applyNumberFormat="1" applyFont="1" applyFill="1" applyBorder="1" applyAlignment="1" applyProtection="1">
      <alignment horizontal="center"/>
    </xf>
    <xf numFmtId="0" fontId="24" fillId="0" borderId="4" xfId="0" applyFont="1" applyBorder="1"/>
    <xf numFmtId="0" fontId="25" fillId="9" borderId="4" xfId="0" applyFont="1" applyFill="1" applyBorder="1"/>
    <xf numFmtId="0" fontId="19" fillId="0" borderId="4" xfId="0" applyFont="1" applyBorder="1"/>
    <xf numFmtId="0" fontId="0" fillId="3" borderId="0" xfId="0" applyFill="1" applyProtection="1">
      <protection hidden="1"/>
    </xf>
    <xf numFmtId="166" fontId="0" fillId="2" borderId="0" xfId="8" applyNumberFormat="1" applyFont="1" applyFill="1" applyBorder="1" applyProtection="1">
      <protection hidden="1"/>
    </xf>
    <xf numFmtId="0" fontId="0" fillId="0" borderId="0" xfId="0" applyAlignment="1">
      <alignment horizontal="center"/>
    </xf>
    <xf numFmtId="9" fontId="2" fillId="0" borderId="0" xfId="7" applyFont="1" applyAlignment="1">
      <alignment horizontal="center"/>
    </xf>
    <xf numFmtId="2" fontId="0" fillId="0" borderId="0" xfId="7" applyNumberFormat="1" applyFont="1" applyAlignment="1">
      <alignment horizontal="center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13" xfId="0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" fontId="45" fillId="11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 wrapText="1"/>
    </xf>
    <xf numFmtId="0" fontId="0" fillId="0" borderId="15" xfId="0" applyBorder="1" applyProtection="1">
      <protection hidden="1"/>
    </xf>
    <xf numFmtId="169" fontId="0" fillId="0" borderId="0" xfId="0" applyNumberFormat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53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54" fillId="0" borderId="0" xfId="0" applyFont="1" applyAlignment="1" applyProtection="1">
      <alignment wrapText="1"/>
      <protection hidden="1"/>
    </xf>
    <xf numFmtId="0" fontId="0" fillId="12" borderId="0" xfId="0" applyFill="1"/>
    <xf numFmtId="0" fontId="0" fillId="13" borderId="0" xfId="0" applyFill="1"/>
    <xf numFmtId="0" fontId="1" fillId="0" borderId="0" xfId="0" applyFont="1" applyAlignment="1" applyProtection="1">
      <alignment horizontal="center" vertical="center" wrapText="1"/>
      <protection hidden="1"/>
    </xf>
    <xf numFmtId="44" fontId="1" fillId="14" borderId="0" xfId="0" applyNumberFormat="1" applyFont="1" applyFill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9" fontId="52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164" fontId="2" fillId="0" borderId="15" xfId="0" quotePrefix="1" applyNumberFormat="1" applyFont="1" applyBorder="1" applyAlignment="1">
      <alignment horizontal="right" vertical="center"/>
    </xf>
    <xf numFmtId="164" fontId="2" fillId="14" borderId="0" xfId="0" quotePrefix="1" applyNumberFormat="1" applyFont="1" applyFill="1" applyAlignment="1" applyProtection="1">
      <alignment horizontal="left" vertical="center"/>
      <protection hidden="1"/>
    </xf>
    <xf numFmtId="164" fontId="2" fillId="14" borderId="14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7" xfId="0" quotePrefix="1" applyNumberFormat="1" applyFont="1" applyFill="1" applyBorder="1" applyAlignment="1" applyProtection="1">
      <alignment horizontal="center" vertical="center"/>
      <protection hidden="1"/>
    </xf>
    <xf numFmtId="167" fontId="0" fillId="0" borderId="0" xfId="0" applyNumberFormat="1"/>
    <xf numFmtId="44" fontId="0" fillId="0" borderId="0" xfId="3" applyFont="1"/>
    <xf numFmtId="0" fontId="0" fillId="2" borderId="16" xfId="0" applyFill="1" applyBorder="1"/>
    <xf numFmtId="0" fontId="0" fillId="15" borderId="0" xfId="0" applyFill="1"/>
    <xf numFmtId="0" fontId="0" fillId="13" borderId="0" xfId="0" applyFill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11" fillId="11" borderId="16" xfId="0" applyFont="1" applyFill="1" applyBorder="1" applyAlignment="1" applyProtection="1">
      <alignment horizontal="center" vertical="center"/>
      <protection hidden="1"/>
    </xf>
    <xf numFmtId="0" fontId="2" fillId="11" borderId="0" xfId="0" applyFont="1" applyFill="1" applyProtection="1">
      <protection hidden="1"/>
    </xf>
    <xf numFmtId="44" fontId="49" fillId="11" borderId="0" xfId="0" applyNumberFormat="1" applyFont="1" applyFill="1" applyAlignment="1" applyProtection="1">
      <alignment vertical="center" wrapText="1"/>
      <protection hidden="1"/>
    </xf>
    <xf numFmtId="0" fontId="2" fillId="11" borderId="0" xfId="0" applyFont="1" applyFill="1" applyAlignment="1" applyProtection="1">
      <alignment horizontal="center"/>
      <protection hidden="1"/>
    </xf>
    <xf numFmtId="0" fontId="49" fillId="11" borderId="18" xfId="0" applyFont="1" applyFill="1" applyBorder="1" applyAlignment="1" applyProtection="1">
      <alignment vertical="center"/>
      <protection hidden="1"/>
    </xf>
    <xf numFmtId="0" fontId="49" fillId="11" borderId="18" xfId="0" applyFont="1" applyFill="1" applyBorder="1" applyAlignment="1" applyProtection="1">
      <alignment vertical="center" wrapText="1"/>
      <protection hidden="1"/>
    </xf>
    <xf numFmtId="0" fontId="2" fillId="17" borderId="0" xfId="0" applyFont="1" applyFill="1"/>
    <xf numFmtId="0" fontId="1" fillId="17" borderId="0" xfId="0" applyFont="1" applyFill="1" applyAlignment="1" applyProtection="1">
      <alignment vertical="center"/>
      <protection hidden="1"/>
    </xf>
    <xf numFmtId="0" fontId="2" fillId="17" borderId="0" xfId="0" applyFont="1" applyFill="1" applyProtection="1">
      <protection hidden="1"/>
    </xf>
    <xf numFmtId="0" fontId="3" fillId="17" borderId="0" xfId="0" applyFont="1" applyFill="1" applyProtection="1">
      <protection hidden="1"/>
    </xf>
    <xf numFmtId="164" fontId="2" fillId="0" borderId="0" xfId="0" quotePrefix="1" applyNumberFormat="1" applyFont="1" applyAlignment="1">
      <alignment horizontal="right" vertical="center"/>
    </xf>
    <xf numFmtId="168" fontId="2" fillId="11" borderId="0" xfId="0" quotePrefix="1" applyNumberFormat="1" applyFont="1" applyFill="1" applyAlignment="1" applyProtection="1">
      <alignment horizontal="left" vertical="center"/>
      <protection hidden="1"/>
    </xf>
    <xf numFmtId="168" fontId="2" fillId="11" borderId="0" xfId="0" applyNumberFormat="1" applyFont="1" applyFill="1" applyAlignment="1" applyProtection="1">
      <alignment horizontal="center" vertical="center"/>
      <protection hidden="1"/>
    </xf>
    <xf numFmtId="168" fontId="2" fillId="11" borderId="0" xfId="4" applyNumberFormat="1" applyFill="1" applyAlignment="1" applyProtection="1">
      <alignment horizontal="center" vertical="center"/>
      <protection hidden="1"/>
    </xf>
    <xf numFmtId="44" fontId="1" fillId="11" borderId="0" xfId="0" applyNumberFormat="1" applyFont="1" applyFill="1" applyAlignment="1" applyProtection="1">
      <alignment horizontal="center" vertical="center"/>
      <protection hidden="1"/>
    </xf>
    <xf numFmtId="0" fontId="1" fillId="18" borderId="20" xfId="0" applyFont="1" applyFill="1" applyBorder="1" applyAlignment="1" applyProtection="1">
      <alignment horizontal="center" vertical="center"/>
      <protection hidden="1"/>
    </xf>
    <xf numFmtId="164" fontId="2" fillId="18" borderId="0" xfId="0" quotePrefix="1" applyNumberFormat="1" applyFont="1" applyFill="1" applyAlignment="1">
      <alignment horizontal="right" vertical="center"/>
    </xf>
    <xf numFmtId="164" fontId="2" fillId="18" borderId="0" xfId="0" quotePrefix="1" applyNumberFormat="1" applyFont="1" applyFill="1" applyAlignment="1" applyProtection="1">
      <alignment horizontal="left" vertical="center"/>
      <protection hidden="1"/>
    </xf>
    <xf numFmtId="164" fontId="2" fillId="18" borderId="0" xfId="0" quotePrefix="1" applyNumberFormat="1" applyFont="1" applyFill="1" applyAlignment="1" applyProtection="1">
      <alignment horizontal="center" vertical="center"/>
      <protection hidden="1"/>
    </xf>
    <xf numFmtId="0" fontId="1" fillId="18" borderId="19" xfId="0" applyFont="1" applyFill="1" applyBorder="1" applyAlignment="1" applyProtection="1">
      <alignment horizontal="center" vertical="center" wrapText="1"/>
      <protection hidden="1"/>
    </xf>
    <xf numFmtId="0" fontId="1" fillId="18" borderId="13" xfId="0" applyFont="1" applyFill="1" applyBorder="1" applyAlignment="1" applyProtection="1">
      <alignment horizontal="center" vertical="center" wrapText="1"/>
      <protection hidden="1"/>
    </xf>
    <xf numFmtId="0" fontId="1" fillId="18" borderId="20" xfId="0" applyFont="1" applyFill="1" applyBorder="1" applyAlignment="1" applyProtection="1">
      <alignment horizontal="center" vertical="center" wrapText="1"/>
      <protection hidden="1"/>
    </xf>
    <xf numFmtId="0" fontId="2" fillId="18" borderId="3" xfId="0" applyFont="1" applyFill="1" applyBorder="1" applyAlignment="1">
      <alignment horizontal="center" vertical="center"/>
    </xf>
    <xf numFmtId="0" fontId="0" fillId="18" borderId="1" xfId="0" applyFill="1" applyBorder="1" applyProtection="1">
      <protection hidden="1"/>
    </xf>
    <xf numFmtId="0" fontId="0" fillId="18" borderId="2" xfId="0" applyFill="1" applyBorder="1" applyProtection="1">
      <protection hidden="1"/>
    </xf>
    <xf numFmtId="168" fontId="55" fillId="19" borderId="3" xfId="0" applyNumberFormat="1" applyFont="1" applyFill="1" applyBorder="1" applyProtection="1">
      <protection hidden="1"/>
    </xf>
    <xf numFmtId="168" fontId="3" fillId="19" borderId="1" xfId="0" applyNumberFormat="1" applyFont="1" applyFill="1" applyBorder="1" applyProtection="1">
      <protection hidden="1"/>
    </xf>
    <xf numFmtId="164" fontId="2" fillId="19" borderId="2" xfId="0" quotePrefix="1" applyNumberFormat="1" applyFont="1" applyFill="1" applyBorder="1" applyAlignment="1" applyProtection="1">
      <alignment horizontal="center" vertical="center"/>
      <protection hidden="1"/>
    </xf>
    <xf numFmtId="164" fontId="2" fillId="19" borderId="3" xfId="0" quotePrefix="1" applyNumberFormat="1" applyFont="1" applyFill="1" applyBorder="1" applyAlignment="1">
      <alignment horizontal="right" vertical="center"/>
    </xf>
    <xf numFmtId="164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164" fontId="2" fillId="19" borderId="2" xfId="0" quotePrefix="1" applyNumberFormat="1" applyFont="1" applyFill="1" applyBorder="1" applyAlignment="1" applyProtection="1">
      <alignment horizontal="left" vertical="center"/>
      <protection hidden="1"/>
    </xf>
    <xf numFmtId="0" fontId="53" fillId="19" borderId="3" xfId="0" applyFont="1" applyFill="1" applyBorder="1"/>
    <xf numFmtId="0" fontId="53" fillId="19" borderId="1" xfId="0" applyFont="1" applyFill="1" applyBorder="1"/>
    <xf numFmtId="168" fontId="55" fillId="19" borderId="1" xfId="0" applyNumberFormat="1" applyFont="1" applyFill="1" applyBorder="1" applyProtection="1">
      <protection hidden="1"/>
    </xf>
    <xf numFmtId="0" fontId="0" fillId="19" borderId="3" xfId="0" applyFill="1" applyBorder="1"/>
    <xf numFmtId="0" fontId="0" fillId="19" borderId="1" xfId="0" applyFill="1" applyBorder="1"/>
    <xf numFmtId="168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0" fontId="0" fillId="11" borderId="0" xfId="0" applyFill="1"/>
    <xf numFmtId="0" fontId="0" fillId="20" borderId="0" xfId="0" applyFill="1"/>
    <xf numFmtId="0" fontId="56" fillId="20" borderId="0" xfId="0" applyFont="1" applyFill="1" applyAlignment="1">
      <alignment horizontal="center"/>
    </xf>
    <xf numFmtId="0" fontId="0" fillId="0" borderId="16" xfId="0" applyBorder="1"/>
    <xf numFmtId="0" fontId="0" fillId="18" borderId="16" xfId="0" applyFill="1" applyBorder="1"/>
    <xf numFmtId="0" fontId="0" fillId="13" borderId="16" xfId="0" applyFill="1" applyBorder="1"/>
    <xf numFmtId="0" fontId="57" fillId="10" borderId="16" xfId="0" applyFont="1" applyFill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21" borderId="16" xfId="0" applyFill="1" applyBorder="1"/>
    <xf numFmtId="0" fontId="53" fillId="22" borderId="0" xfId="0" applyFont="1" applyFill="1" applyAlignment="1">
      <alignment horizontal="center" vertical="center"/>
    </xf>
    <xf numFmtId="0" fontId="31" fillId="21" borderId="0" xfId="0" applyFont="1" applyFill="1" applyProtection="1"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14" fillId="21" borderId="0" xfId="0" applyFont="1" applyFill="1" applyAlignment="1">
      <alignment horizontal="center" vertical="center"/>
    </xf>
    <xf numFmtId="0" fontId="0" fillId="11" borderId="0" xfId="0" applyFill="1" applyProtection="1">
      <protection hidden="1"/>
    </xf>
    <xf numFmtId="0" fontId="3" fillId="11" borderId="0" xfId="0" applyFont="1" applyFill="1" applyProtection="1">
      <protection hidden="1"/>
    </xf>
    <xf numFmtId="0" fontId="58" fillId="0" borderId="0" xfId="0" applyFont="1" applyProtection="1">
      <protection hidden="1"/>
    </xf>
    <xf numFmtId="0" fontId="59" fillId="0" borderId="0" xfId="0" applyFont="1" applyProtection="1">
      <protection hidden="1"/>
    </xf>
    <xf numFmtId="0" fontId="59" fillId="11" borderId="0" xfId="0" applyFont="1" applyFill="1" applyProtection="1">
      <protection hidden="1"/>
    </xf>
    <xf numFmtId="0" fontId="58" fillId="11" borderId="0" xfId="0" applyFont="1" applyFill="1" applyProtection="1">
      <protection hidden="1"/>
    </xf>
    <xf numFmtId="1" fontId="0" fillId="11" borderId="0" xfId="0" applyNumberFormat="1" applyFill="1"/>
    <xf numFmtId="0" fontId="0" fillId="11" borderId="1" xfId="0" applyFill="1" applyBorder="1"/>
    <xf numFmtId="10" fontId="30" fillId="23" borderId="21" xfId="8" applyNumberFormat="1" applyFont="1" applyFill="1" applyBorder="1" applyAlignment="1" applyProtection="1">
      <alignment horizontal="center"/>
      <protection hidden="1"/>
    </xf>
    <xf numFmtId="10" fontId="30" fillId="23" borderId="22" xfId="8" applyNumberFormat="1" applyFont="1" applyFill="1" applyBorder="1" applyAlignment="1" applyProtection="1">
      <alignment horizontal="center"/>
      <protection hidden="1"/>
    </xf>
    <xf numFmtId="10" fontId="30" fillId="23" borderId="23" xfId="8" applyNumberFormat="1" applyFont="1" applyFill="1" applyBorder="1" applyAlignment="1" applyProtection="1">
      <alignment horizontal="center"/>
      <protection hidden="1"/>
    </xf>
    <xf numFmtId="10" fontId="0" fillId="23" borderId="24" xfId="0" applyNumberFormat="1" applyFill="1" applyBorder="1" applyProtection="1">
      <protection hidden="1"/>
    </xf>
    <xf numFmtId="10" fontId="0" fillId="23" borderId="10" xfId="0" applyNumberFormat="1" applyFill="1" applyBorder="1" applyProtection="1">
      <protection hidden="1"/>
    </xf>
    <xf numFmtId="166" fontId="30" fillId="23" borderId="8" xfId="8" applyNumberFormat="1" applyFont="1" applyFill="1" applyBorder="1" applyProtection="1">
      <protection hidden="1"/>
    </xf>
    <xf numFmtId="10" fontId="30" fillId="23" borderId="21" xfId="8" applyNumberFormat="1" applyFont="1" applyFill="1" applyBorder="1" applyProtection="1">
      <protection hidden="1"/>
    </xf>
    <xf numFmtId="10" fontId="30" fillId="23" borderId="23" xfId="8" applyNumberFormat="1" applyFont="1" applyFill="1" applyBorder="1" applyProtection="1">
      <protection hidden="1"/>
    </xf>
    <xf numFmtId="0" fontId="0" fillId="11" borderId="14" xfId="0" applyFill="1" applyBorder="1" applyProtection="1"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 hidden="1"/>
    </xf>
    <xf numFmtId="2" fontId="2" fillId="0" borderId="0" xfId="0" applyNumberFormat="1" applyFont="1"/>
    <xf numFmtId="2" fontId="0" fillId="0" borderId="0" xfId="0" applyNumberFormat="1"/>
    <xf numFmtId="0" fontId="60" fillId="0" borderId="0" xfId="0" applyFont="1"/>
    <xf numFmtId="0" fontId="61" fillId="11" borderId="0" xfId="0" applyFont="1" applyFill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 wrapText="1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10" fontId="41" fillId="25" borderId="16" xfId="8" applyNumberFormat="1" applyFont="1" applyFill="1" applyBorder="1" applyProtection="1">
      <protection hidden="1"/>
    </xf>
    <xf numFmtId="0" fontId="0" fillId="26" borderId="16" xfId="0" applyFill="1" applyBorder="1"/>
    <xf numFmtId="0" fontId="2" fillId="0" borderId="0" xfId="0" applyFont="1" applyAlignment="1" applyProtection="1">
      <alignment horizontal="left"/>
      <protection hidden="1"/>
    </xf>
    <xf numFmtId="0" fontId="62" fillId="11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5" xfId="0" applyBorder="1" applyAlignment="1" applyProtection="1">
      <alignment wrapText="1"/>
      <protection hidden="1"/>
    </xf>
    <xf numFmtId="0" fontId="42" fillId="0" borderId="0" xfId="0" applyFont="1"/>
    <xf numFmtId="0" fontId="62" fillId="11" borderId="0" xfId="0" quotePrefix="1" applyFont="1" applyFill="1" applyAlignment="1" applyProtection="1">
      <alignment horizontal="left" vertical="center"/>
      <protection hidden="1"/>
    </xf>
    <xf numFmtId="0" fontId="88" fillId="38" borderId="0" xfId="0" applyFont="1" applyFill="1" applyAlignment="1" applyProtection="1">
      <alignment horizontal="left" vertical="center"/>
      <protection hidden="1"/>
    </xf>
    <xf numFmtId="0" fontId="62" fillId="38" borderId="0" xfId="0" applyFont="1" applyFill="1" applyAlignment="1" applyProtection="1">
      <alignment horizontal="left" vertical="center"/>
      <protection hidden="1"/>
    </xf>
    <xf numFmtId="0" fontId="5" fillId="38" borderId="0" xfId="2" applyFill="1" applyAlignment="1" applyProtection="1">
      <alignment horizontal="left" vertical="center"/>
      <protection hidden="1"/>
    </xf>
    <xf numFmtId="0" fontId="2" fillId="0" borderId="13" xfId="0" applyFont="1" applyBorder="1" applyProtection="1">
      <protection hidden="1"/>
    </xf>
    <xf numFmtId="0" fontId="71" fillId="21" borderId="25" xfId="0" applyFont="1" applyFill="1" applyBorder="1" applyAlignment="1" applyProtection="1">
      <alignment horizontal="center" vertical="center" wrapText="1"/>
      <protection hidden="1"/>
    </xf>
    <xf numFmtId="0" fontId="71" fillId="21" borderId="12" xfId="0" applyFont="1" applyFill="1" applyBorder="1" applyAlignment="1" applyProtection="1">
      <alignment horizontal="center" vertical="center" wrapText="1"/>
      <protection hidden="1"/>
    </xf>
    <xf numFmtId="0" fontId="71" fillId="21" borderId="15" xfId="0" applyFont="1" applyFill="1" applyBorder="1" applyAlignment="1" applyProtection="1">
      <alignment horizontal="center" vertical="center" wrapText="1"/>
      <protection hidden="1"/>
    </xf>
    <xf numFmtId="0" fontId="71" fillId="21" borderId="14" xfId="0" applyFont="1" applyFill="1" applyBorder="1" applyAlignment="1" applyProtection="1">
      <alignment horizontal="center" vertical="center" wrapText="1"/>
      <protection hidden="1"/>
    </xf>
    <xf numFmtId="0" fontId="71" fillId="21" borderId="19" xfId="0" applyFont="1" applyFill="1" applyBorder="1" applyAlignment="1" applyProtection="1">
      <alignment horizontal="center" vertical="center" wrapText="1"/>
      <protection hidden="1"/>
    </xf>
    <xf numFmtId="0" fontId="71" fillId="21" borderId="20" xfId="0" applyFont="1" applyFill="1" applyBorder="1" applyAlignment="1" applyProtection="1">
      <alignment horizontal="center" vertical="center" wrapText="1"/>
      <protection hidden="1"/>
    </xf>
    <xf numFmtId="164" fontId="45" fillId="0" borderId="16" xfId="0" applyNumberFormat="1" applyFont="1" applyBorder="1" applyAlignment="1" applyProtection="1">
      <alignment horizontal="center" vertical="center"/>
      <protection hidden="1"/>
    </xf>
    <xf numFmtId="164" fontId="45" fillId="11" borderId="25" xfId="0" applyNumberFormat="1" applyFont="1" applyFill="1" applyBorder="1" applyAlignment="1" applyProtection="1">
      <alignment horizontal="center" vertical="center"/>
      <protection hidden="1"/>
    </xf>
    <xf numFmtId="164" fontId="45" fillId="11" borderId="18" xfId="0" applyNumberFormat="1" applyFont="1" applyFill="1" applyBorder="1" applyAlignment="1" applyProtection="1">
      <alignment horizontal="center" vertical="center"/>
      <protection hidden="1"/>
    </xf>
    <xf numFmtId="164" fontId="45" fillId="11" borderId="12" xfId="0" applyNumberFormat="1" applyFont="1" applyFill="1" applyBorder="1" applyAlignment="1" applyProtection="1">
      <alignment horizontal="center" vertical="center"/>
      <protection hidden="1"/>
    </xf>
    <xf numFmtId="164" fontId="45" fillId="11" borderId="19" xfId="0" applyNumberFormat="1" applyFont="1" applyFill="1" applyBorder="1" applyAlignment="1" applyProtection="1">
      <alignment horizontal="center" vertical="center"/>
      <protection hidden="1"/>
    </xf>
    <xf numFmtId="164" fontId="45" fillId="11" borderId="13" xfId="0" applyNumberFormat="1" applyFont="1" applyFill="1" applyBorder="1" applyAlignment="1" applyProtection="1">
      <alignment horizontal="center" vertical="center"/>
      <protection hidden="1"/>
    </xf>
    <xf numFmtId="164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64" fillId="21" borderId="1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63" fillId="21" borderId="16" xfId="0" applyFont="1" applyFill="1" applyBorder="1" applyAlignment="1" applyProtection="1">
      <alignment horizontal="center" vertical="center" wrapText="1"/>
      <protection hidden="1"/>
    </xf>
    <xf numFmtId="176" fontId="2" fillId="0" borderId="16" xfId="3" applyNumberFormat="1" applyFont="1" applyBorder="1" applyAlignment="1" applyProtection="1">
      <alignment horizontal="center" wrapText="1"/>
      <protection hidden="1"/>
    </xf>
    <xf numFmtId="0" fontId="11" fillId="0" borderId="16" xfId="0" applyFont="1" applyBorder="1" applyAlignment="1">
      <alignment horizontal="center" vertical="center" wrapText="1"/>
    </xf>
    <xf numFmtId="170" fontId="45" fillId="0" borderId="3" xfId="3" quotePrefix="1" applyNumberFormat="1" applyFont="1" applyBorder="1" applyAlignment="1" applyProtection="1">
      <alignment horizontal="center" vertical="center"/>
      <protection hidden="1"/>
    </xf>
    <xf numFmtId="170" fontId="45" fillId="0" borderId="2" xfId="3" quotePrefix="1" applyNumberFormat="1" applyFont="1" applyBorder="1" applyAlignment="1" applyProtection="1">
      <alignment horizontal="center" vertical="center"/>
      <protection hidden="1"/>
    </xf>
    <xf numFmtId="0" fontId="76" fillId="21" borderId="16" xfId="0" applyFont="1" applyFill="1" applyBorder="1" applyAlignment="1" applyProtection="1">
      <alignment horizontal="center" vertical="center" wrapText="1"/>
      <protection hidden="1"/>
    </xf>
    <xf numFmtId="0" fontId="90" fillId="38" borderId="0" xfId="0" applyFont="1" applyFill="1" applyAlignment="1" applyProtection="1">
      <alignment horizontal="left" vertical="top" wrapText="1"/>
      <protection hidden="1"/>
    </xf>
    <xf numFmtId="164" fontId="45" fillId="0" borderId="25" xfId="0" applyNumberFormat="1" applyFont="1" applyBorder="1" applyAlignment="1" applyProtection="1">
      <alignment horizontal="center" vertical="center"/>
      <protection hidden="1"/>
    </xf>
    <xf numFmtId="164" fontId="45" fillId="0" borderId="18" xfId="0" applyNumberFormat="1" applyFont="1" applyBorder="1" applyAlignment="1" applyProtection="1">
      <alignment horizontal="center" vertical="center"/>
      <protection hidden="1"/>
    </xf>
    <xf numFmtId="164" fontId="45" fillId="0" borderId="12" xfId="0" applyNumberFormat="1" applyFont="1" applyBorder="1" applyAlignment="1" applyProtection="1">
      <alignment horizontal="center" vertical="center"/>
      <protection hidden="1"/>
    </xf>
    <xf numFmtId="164" fontId="45" fillId="0" borderId="15" xfId="0" applyNumberFormat="1" applyFont="1" applyBorder="1" applyAlignment="1" applyProtection="1">
      <alignment horizontal="center" vertical="center"/>
      <protection hidden="1"/>
    </xf>
    <xf numFmtId="164" fontId="45" fillId="0" borderId="0" xfId="0" applyNumberFormat="1" applyFont="1" applyAlignment="1" applyProtection="1">
      <alignment horizontal="center" vertical="center"/>
      <protection hidden="1"/>
    </xf>
    <xf numFmtId="164" fontId="45" fillId="0" borderId="14" xfId="0" applyNumberFormat="1" applyFont="1" applyBorder="1" applyAlignment="1" applyProtection="1">
      <alignment horizontal="center" vertical="center"/>
      <protection hidden="1"/>
    </xf>
    <xf numFmtId="164" fontId="45" fillId="0" borderId="19" xfId="0" applyNumberFormat="1" applyFont="1" applyBorder="1" applyAlignment="1" applyProtection="1">
      <alignment horizontal="center" vertical="center"/>
      <protection hidden="1"/>
    </xf>
    <xf numFmtId="164" fontId="45" fillId="0" borderId="13" xfId="0" applyNumberFormat="1" applyFont="1" applyBorder="1" applyAlignment="1" applyProtection="1">
      <alignment horizontal="center" vertical="center"/>
      <protection hidden="1"/>
    </xf>
    <xf numFmtId="164" fontId="45" fillId="0" borderId="20" xfId="0" applyNumberFormat="1" applyFont="1" applyBorder="1" applyAlignment="1" applyProtection="1">
      <alignment horizontal="center" vertical="center"/>
      <protection hidden="1"/>
    </xf>
    <xf numFmtId="0" fontId="66" fillId="24" borderId="16" xfId="0" applyFont="1" applyFill="1" applyBorder="1" applyAlignment="1" applyProtection="1">
      <alignment horizontal="center" vertical="center"/>
      <protection locked="0"/>
    </xf>
    <xf numFmtId="0" fontId="76" fillId="21" borderId="25" xfId="0" applyFont="1" applyFill="1" applyBorder="1" applyAlignment="1">
      <alignment horizontal="center" vertical="center" wrapText="1"/>
    </xf>
    <xf numFmtId="0" fontId="76" fillId="21" borderId="18" xfId="0" applyFont="1" applyFill="1" applyBorder="1" applyAlignment="1">
      <alignment horizontal="center" vertical="center" wrapText="1"/>
    </xf>
    <xf numFmtId="0" fontId="76" fillId="21" borderId="12" xfId="0" applyFont="1" applyFill="1" applyBorder="1" applyAlignment="1">
      <alignment horizontal="center" vertical="center" wrapText="1"/>
    </xf>
    <xf numFmtId="0" fontId="76" fillId="21" borderId="15" xfId="0" applyFont="1" applyFill="1" applyBorder="1" applyAlignment="1">
      <alignment horizontal="center" vertical="center" wrapText="1"/>
    </xf>
    <xf numFmtId="0" fontId="76" fillId="21" borderId="0" xfId="0" applyFont="1" applyFill="1" applyAlignment="1">
      <alignment horizontal="center" vertical="center" wrapText="1"/>
    </xf>
    <xf numFmtId="0" fontId="76" fillId="21" borderId="14" xfId="0" applyFont="1" applyFill="1" applyBorder="1" applyAlignment="1">
      <alignment horizontal="center" vertical="center" wrapText="1"/>
    </xf>
    <xf numFmtId="0" fontId="76" fillId="21" borderId="19" xfId="0" applyFont="1" applyFill="1" applyBorder="1" applyAlignment="1">
      <alignment horizontal="center" vertical="center" wrapText="1"/>
    </xf>
    <xf numFmtId="0" fontId="76" fillId="21" borderId="13" xfId="0" applyFont="1" applyFill="1" applyBorder="1" applyAlignment="1">
      <alignment horizontal="center" vertical="center" wrapText="1"/>
    </xf>
    <xf numFmtId="0" fontId="76" fillId="21" borderId="20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176" fontId="2" fillId="0" borderId="16" xfId="0" applyNumberFormat="1" applyFont="1" applyBorder="1" applyAlignment="1" applyProtection="1">
      <alignment horizontal="center" wrapText="1"/>
      <protection hidden="1"/>
    </xf>
    <xf numFmtId="0" fontId="72" fillId="11" borderId="16" xfId="0" applyFont="1" applyFill="1" applyBorder="1" applyAlignment="1" applyProtection="1">
      <alignment horizontal="center" vertical="center"/>
      <protection hidden="1"/>
    </xf>
    <xf numFmtId="0" fontId="56" fillId="28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44" fontId="2" fillId="11" borderId="25" xfId="0" applyNumberFormat="1" applyFont="1" applyFill="1" applyBorder="1" applyAlignment="1" applyProtection="1">
      <alignment horizontal="center" vertical="center"/>
      <protection hidden="1"/>
    </xf>
    <xf numFmtId="44" fontId="2" fillId="11" borderId="18" xfId="0" applyNumberFormat="1" applyFont="1" applyFill="1" applyBorder="1" applyAlignment="1" applyProtection="1">
      <alignment horizontal="center" vertical="center"/>
      <protection hidden="1"/>
    </xf>
    <xf numFmtId="44" fontId="2" fillId="11" borderId="12" xfId="0" applyNumberFormat="1" applyFont="1" applyFill="1" applyBorder="1" applyAlignment="1" applyProtection="1">
      <alignment horizontal="center" vertical="center"/>
      <protection hidden="1"/>
    </xf>
    <xf numFmtId="44" fontId="2" fillId="11" borderId="19" xfId="0" applyNumberFormat="1" applyFont="1" applyFill="1" applyBorder="1" applyAlignment="1" applyProtection="1">
      <alignment horizontal="center" vertical="center"/>
      <protection hidden="1"/>
    </xf>
    <xf numFmtId="44" fontId="2" fillId="11" borderId="13" xfId="0" applyNumberFormat="1" applyFont="1" applyFill="1" applyBorder="1" applyAlignment="1" applyProtection="1">
      <alignment horizontal="center" vertical="center"/>
      <protection hidden="1"/>
    </xf>
    <xf numFmtId="44" fontId="2" fillId="11" borderId="20" xfId="0" applyNumberFormat="1" applyFont="1" applyFill="1" applyBorder="1" applyAlignment="1" applyProtection="1">
      <alignment horizontal="center" vertical="center"/>
      <protection hidden="1"/>
    </xf>
    <xf numFmtId="1" fontId="45" fillId="11" borderId="25" xfId="0" applyNumberFormat="1" applyFont="1" applyFill="1" applyBorder="1" applyAlignment="1" applyProtection="1">
      <alignment horizontal="center" vertical="center"/>
      <protection hidden="1"/>
    </xf>
    <xf numFmtId="1" fontId="45" fillId="11" borderId="12" xfId="0" applyNumberFormat="1" applyFont="1" applyFill="1" applyBorder="1" applyAlignment="1" applyProtection="1">
      <alignment horizontal="center" vertical="center"/>
      <protection hidden="1"/>
    </xf>
    <xf numFmtId="1" fontId="45" fillId="11" borderId="19" xfId="0" applyNumberFormat="1" applyFont="1" applyFill="1" applyBorder="1" applyAlignment="1" applyProtection="1">
      <alignment horizontal="center" vertical="center"/>
      <protection hidden="1"/>
    </xf>
    <xf numFmtId="1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0" fontId="2" fillId="11" borderId="27" xfId="0" applyFont="1" applyFill="1" applyBorder="1" applyAlignment="1" applyProtection="1">
      <alignment horizontal="center" vertical="center"/>
      <protection hidden="1"/>
    </xf>
    <xf numFmtId="10" fontId="2" fillId="11" borderId="25" xfId="0" applyNumberFormat="1" applyFont="1" applyFill="1" applyBorder="1" applyAlignment="1" applyProtection="1">
      <alignment horizontal="center" vertical="center"/>
      <protection hidden="1"/>
    </xf>
    <xf numFmtId="10" fontId="2" fillId="11" borderId="12" xfId="0" applyNumberFormat="1" applyFont="1" applyFill="1" applyBorder="1" applyAlignment="1" applyProtection="1">
      <alignment horizontal="center" vertical="center"/>
      <protection hidden="1"/>
    </xf>
    <xf numFmtId="10" fontId="2" fillId="11" borderId="19" xfId="0" applyNumberFormat="1" applyFont="1" applyFill="1" applyBorder="1" applyAlignment="1" applyProtection="1">
      <alignment horizontal="center" vertical="center"/>
      <protection hidden="1"/>
    </xf>
    <xf numFmtId="10" fontId="2" fillId="11" borderId="20" xfId="0" applyNumberFormat="1" applyFont="1" applyFill="1" applyBorder="1" applyAlignment="1" applyProtection="1">
      <alignment horizontal="center" vertical="center"/>
      <protection hidden="1"/>
    </xf>
    <xf numFmtId="0" fontId="74" fillId="21" borderId="25" xfId="0" applyFont="1" applyFill="1" applyBorder="1" applyAlignment="1" applyProtection="1">
      <alignment horizontal="center" vertical="center" wrapText="1"/>
      <protection hidden="1"/>
    </xf>
    <xf numFmtId="0" fontId="74" fillId="21" borderId="12" xfId="0" applyFont="1" applyFill="1" applyBorder="1" applyAlignment="1" applyProtection="1">
      <alignment horizontal="center" vertical="center" wrapText="1"/>
      <protection hidden="1"/>
    </xf>
    <xf numFmtId="0" fontId="74" fillId="21" borderId="15" xfId="0" applyFont="1" applyFill="1" applyBorder="1" applyAlignment="1" applyProtection="1">
      <alignment horizontal="center" vertical="center" wrapText="1"/>
      <protection hidden="1"/>
    </xf>
    <xf numFmtId="0" fontId="74" fillId="21" borderId="14" xfId="0" applyFont="1" applyFill="1" applyBorder="1" applyAlignment="1" applyProtection="1">
      <alignment horizontal="center" vertical="center" wrapText="1"/>
      <protection hidden="1"/>
    </xf>
    <xf numFmtId="0" fontId="74" fillId="21" borderId="19" xfId="0" applyFont="1" applyFill="1" applyBorder="1" applyAlignment="1" applyProtection="1">
      <alignment horizontal="center" vertical="center" wrapText="1"/>
      <protection hidden="1"/>
    </xf>
    <xf numFmtId="0" fontId="74" fillId="21" borderId="20" xfId="0" applyFont="1" applyFill="1" applyBorder="1" applyAlignment="1" applyProtection="1">
      <alignment horizontal="center" vertical="center" wrapText="1"/>
      <protection hidden="1"/>
    </xf>
    <xf numFmtId="0" fontId="74" fillId="21" borderId="26" xfId="0" applyFont="1" applyFill="1" applyBorder="1" applyAlignment="1" applyProtection="1">
      <alignment horizontal="center" vertical="center" wrapText="1"/>
      <protection hidden="1"/>
    </xf>
    <xf numFmtId="0" fontId="74" fillId="21" borderId="17" xfId="0" applyFont="1" applyFill="1" applyBorder="1" applyAlignment="1" applyProtection="1">
      <alignment horizontal="center" vertical="center" wrapText="1"/>
      <protection hidden="1"/>
    </xf>
    <xf numFmtId="0" fontId="74" fillId="21" borderId="27" xfId="0" applyFont="1" applyFill="1" applyBorder="1" applyAlignment="1" applyProtection="1">
      <alignment horizontal="center" vertical="center" wrapText="1"/>
      <protection hidden="1"/>
    </xf>
    <xf numFmtId="10" fontId="45" fillId="11" borderId="26" xfId="0" applyNumberFormat="1" applyFont="1" applyFill="1" applyBorder="1" applyAlignment="1" applyProtection="1">
      <alignment horizontal="center" vertical="center" wrapText="1"/>
      <protection hidden="1"/>
    </xf>
    <xf numFmtId="10" fontId="45" fillId="11" borderId="27" xfId="0" applyNumberFormat="1" applyFont="1" applyFill="1" applyBorder="1" applyAlignment="1" applyProtection="1">
      <alignment horizontal="center" vertical="center" wrapText="1"/>
      <protection hidden="1"/>
    </xf>
    <xf numFmtId="0" fontId="68" fillId="21" borderId="16" xfId="0" applyFont="1" applyFill="1" applyBorder="1" applyAlignment="1" applyProtection="1">
      <alignment horizontal="center" vertical="center" wrapText="1"/>
      <protection hidden="1"/>
    </xf>
    <xf numFmtId="0" fontId="68" fillId="21" borderId="25" xfId="0" applyFont="1" applyFill="1" applyBorder="1" applyAlignment="1" applyProtection="1">
      <alignment horizontal="center" vertical="center" wrapText="1"/>
      <protection hidden="1"/>
    </xf>
    <xf numFmtId="0" fontId="68" fillId="21" borderId="12" xfId="0" applyFont="1" applyFill="1" applyBorder="1" applyAlignment="1" applyProtection="1">
      <alignment horizontal="center" vertical="center" wrapText="1"/>
      <protection hidden="1"/>
    </xf>
    <xf numFmtId="0" fontId="68" fillId="21" borderId="15" xfId="0" applyFont="1" applyFill="1" applyBorder="1" applyAlignment="1" applyProtection="1">
      <alignment horizontal="center" vertical="center" wrapText="1"/>
      <protection hidden="1"/>
    </xf>
    <xf numFmtId="0" fontId="68" fillId="21" borderId="14" xfId="0" applyFont="1" applyFill="1" applyBorder="1" applyAlignment="1" applyProtection="1">
      <alignment horizontal="center" vertical="center" wrapText="1"/>
      <protection hidden="1"/>
    </xf>
    <xf numFmtId="0" fontId="68" fillId="21" borderId="19" xfId="0" applyFont="1" applyFill="1" applyBorder="1" applyAlignment="1" applyProtection="1">
      <alignment horizontal="center" vertical="center" wrapText="1"/>
      <protection hidden="1"/>
    </xf>
    <xf numFmtId="0" fontId="68" fillId="21" borderId="20" xfId="0" applyFont="1" applyFill="1" applyBorder="1" applyAlignment="1" applyProtection="1">
      <alignment horizontal="center" vertical="center" wrapText="1"/>
      <protection hidden="1"/>
    </xf>
    <xf numFmtId="0" fontId="84" fillId="0" borderId="0" xfId="0" applyFont="1" applyAlignment="1" applyProtection="1">
      <alignment horizontal="left" vertical="center"/>
      <protection hidden="1"/>
    </xf>
    <xf numFmtId="44" fontId="0" fillId="0" borderId="3" xfId="3" applyFont="1" applyBorder="1" applyAlignment="1" applyProtection="1">
      <alignment horizontal="center"/>
      <protection hidden="1"/>
    </xf>
    <xf numFmtId="44" fontId="0" fillId="0" borderId="1" xfId="3" applyFont="1" applyBorder="1" applyAlignment="1" applyProtection="1">
      <alignment horizontal="center"/>
      <protection hidden="1"/>
    </xf>
    <xf numFmtId="44" fontId="0" fillId="0" borderId="2" xfId="3" applyFont="1" applyBorder="1" applyAlignment="1" applyProtection="1">
      <alignment horizontal="center"/>
      <protection hidden="1"/>
    </xf>
    <xf numFmtId="0" fontId="64" fillId="21" borderId="26" xfId="0" applyFont="1" applyFill="1" applyBorder="1" applyAlignment="1" applyProtection="1">
      <alignment horizontal="center" vertical="center"/>
      <protection hidden="1"/>
    </xf>
    <xf numFmtId="0" fontId="64" fillId="21" borderId="17" xfId="0" applyFont="1" applyFill="1" applyBorder="1" applyAlignment="1" applyProtection="1">
      <alignment horizontal="center" vertical="center"/>
      <protection hidden="1"/>
    </xf>
    <xf numFmtId="0" fontId="64" fillId="21" borderId="27" xfId="0" applyFont="1" applyFill="1" applyBorder="1" applyAlignment="1" applyProtection="1">
      <alignment horizontal="center" vertical="center"/>
      <protection hidden="1"/>
    </xf>
    <xf numFmtId="2" fontId="2" fillId="11" borderId="25" xfId="0" applyNumberFormat="1" applyFont="1" applyFill="1" applyBorder="1" applyAlignment="1" applyProtection="1">
      <alignment horizontal="center" vertical="center"/>
      <protection hidden="1"/>
    </xf>
    <xf numFmtId="2" fontId="2" fillId="11" borderId="18" xfId="0" applyNumberFormat="1" applyFont="1" applyFill="1" applyBorder="1" applyAlignment="1" applyProtection="1">
      <alignment horizontal="center" vertical="center"/>
      <protection hidden="1"/>
    </xf>
    <xf numFmtId="2" fontId="2" fillId="11" borderId="12" xfId="0" applyNumberFormat="1" applyFont="1" applyFill="1" applyBorder="1" applyAlignment="1" applyProtection="1">
      <alignment horizontal="center" vertical="center"/>
      <protection hidden="1"/>
    </xf>
    <xf numFmtId="2" fontId="2" fillId="11" borderId="19" xfId="0" applyNumberFormat="1" applyFont="1" applyFill="1" applyBorder="1" applyAlignment="1" applyProtection="1">
      <alignment horizontal="center" vertical="center"/>
      <protection hidden="1"/>
    </xf>
    <xf numFmtId="2" fontId="2" fillId="11" borderId="13" xfId="0" applyNumberFormat="1" applyFont="1" applyFill="1" applyBorder="1" applyAlignment="1" applyProtection="1">
      <alignment horizontal="center" vertical="center"/>
      <protection hidden="1"/>
    </xf>
    <xf numFmtId="2" fontId="2" fillId="11" borderId="20" xfId="0" applyNumberFormat="1" applyFont="1" applyFill="1" applyBorder="1" applyAlignment="1" applyProtection="1">
      <alignment horizontal="center" vertical="center"/>
      <protection hidden="1"/>
    </xf>
    <xf numFmtId="171" fontId="35" fillId="11" borderId="3" xfId="0" applyNumberFormat="1" applyFont="1" applyFill="1" applyBorder="1" applyAlignment="1" applyProtection="1">
      <alignment horizontal="center"/>
      <protection hidden="1"/>
    </xf>
    <xf numFmtId="171" fontId="35" fillId="11" borderId="2" xfId="0" applyNumberFormat="1" applyFont="1" applyFill="1" applyBorder="1" applyAlignment="1" applyProtection="1">
      <alignment horizontal="center"/>
      <protection hidden="1"/>
    </xf>
    <xf numFmtId="0" fontId="68" fillId="21" borderId="16" xfId="0" applyFont="1" applyFill="1" applyBorder="1" applyAlignment="1" applyProtection="1">
      <alignment horizontal="center" vertical="center"/>
      <protection hidden="1"/>
    </xf>
    <xf numFmtId="0" fontId="66" fillId="0" borderId="16" xfId="0" applyFont="1" applyBorder="1" applyAlignment="1" applyProtection="1">
      <alignment horizontal="center" vertical="center" wrapText="1"/>
      <protection hidden="1"/>
    </xf>
    <xf numFmtId="2" fontId="65" fillId="0" borderId="3" xfId="0" applyNumberFormat="1" applyFont="1" applyBorder="1" applyAlignment="1" applyProtection="1">
      <alignment horizontal="center" vertical="center"/>
      <protection hidden="1"/>
    </xf>
    <xf numFmtId="2" fontId="65" fillId="0" borderId="1" xfId="0" applyNumberFormat="1" applyFont="1" applyBorder="1" applyAlignment="1" applyProtection="1">
      <alignment horizontal="center" vertical="center"/>
      <protection hidden="1"/>
    </xf>
    <xf numFmtId="2" fontId="65" fillId="0" borderId="2" xfId="0" applyNumberFormat="1" applyFont="1" applyBorder="1" applyAlignment="1" applyProtection="1">
      <alignment horizontal="center" vertical="center"/>
      <protection hidden="1"/>
    </xf>
    <xf numFmtId="0" fontId="66" fillId="21" borderId="16" xfId="0" applyFont="1" applyFill="1" applyBorder="1" applyAlignment="1" applyProtection="1">
      <alignment horizontal="center" vertical="center" wrapText="1"/>
      <protection hidden="1"/>
    </xf>
    <xf numFmtId="0" fontId="69" fillId="27" borderId="16" xfId="0" applyFont="1" applyFill="1" applyBorder="1" applyAlignment="1" applyProtection="1">
      <alignment horizontal="center" vertical="center" wrapText="1"/>
      <protection hidden="1"/>
    </xf>
    <xf numFmtId="0" fontId="61" fillId="27" borderId="16" xfId="0" applyFont="1" applyFill="1" applyBorder="1" applyAlignment="1" applyProtection="1">
      <alignment horizontal="center" vertical="center" wrapText="1"/>
      <protection hidden="1"/>
    </xf>
    <xf numFmtId="0" fontId="70" fillId="21" borderId="16" xfId="0" applyFont="1" applyFill="1" applyBorder="1" applyAlignment="1" applyProtection="1">
      <alignment horizontal="center" vertical="center" wrapText="1"/>
      <protection hidden="1"/>
    </xf>
    <xf numFmtId="2" fontId="49" fillId="0" borderId="16" xfId="0" applyNumberFormat="1" applyFont="1" applyBorder="1" applyAlignment="1" applyProtection="1">
      <alignment horizontal="center" vertical="center"/>
      <protection hidden="1"/>
    </xf>
    <xf numFmtId="2" fontId="49" fillId="0" borderId="16" xfId="7" applyNumberFormat="1" applyFont="1" applyFill="1" applyBorder="1" applyAlignment="1" applyProtection="1">
      <alignment horizontal="center" vertical="center"/>
      <protection hidden="1"/>
    </xf>
    <xf numFmtId="2" fontId="65" fillId="0" borderId="25" xfId="0" applyNumberFormat="1" applyFont="1" applyBorder="1" applyAlignment="1" applyProtection="1">
      <alignment horizontal="center" vertical="center"/>
      <protection hidden="1"/>
    </xf>
    <xf numFmtId="2" fontId="65" fillId="0" borderId="18" xfId="0" applyNumberFormat="1" applyFont="1" applyBorder="1" applyAlignment="1" applyProtection="1">
      <alignment horizontal="center" vertical="center"/>
      <protection hidden="1"/>
    </xf>
    <xf numFmtId="2" fontId="65" fillId="0" borderId="12" xfId="0" applyNumberFormat="1" applyFont="1" applyBorder="1" applyAlignment="1" applyProtection="1">
      <alignment horizontal="center" vertical="center"/>
      <protection hidden="1"/>
    </xf>
    <xf numFmtId="2" fontId="65" fillId="0" borderId="19" xfId="0" applyNumberFormat="1" applyFont="1" applyBorder="1" applyAlignment="1" applyProtection="1">
      <alignment horizontal="center" vertical="center"/>
      <protection hidden="1"/>
    </xf>
    <xf numFmtId="2" fontId="65" fillId="0" borderId="13" xfId="0" applyNumberFormat="1" applyFont="1" applyBorder="1" applyAlignment="1" applyProtection="1">
      <alignment horizontal="center" vertical="center"/>
      <protection hidden="1"/>
    </xf>
    <xf numFmtId="2" fontId="65" fillId="0" borderId="20" xfId="0" applyNumberFormat="1" applyFont="1" applyBorder="1" applyAlignment="1" applyProtection="1">
      <alignment horizontal="center" vertical="center"/>
      <protection hidden="1"/>
    </xf>
    <xf numFmtId="0" fontId="67" fillId="27" borderId="16" xfId="0" applyFont="1" applyFill="1" applyBorder="1" applyAlignment="1" applyProtection="1">
      <alignment horizontal="center" vertical="center" wrapText="1"/>
      <protection hidden="1"/>
    </xf>
    <xf numFmtId="2" fontId="6" fillId="24" borderId="25" xfId="0" applyNumberFormat="1" applyFont="1" applyFill="1" applyBorder="1" applyAlignment="1" applyProtection="1">
      <alignment horizontal="center" vertical="center"/>
      <protection locked="0"/>
    </xf>
    <xf numFmtId="2" fontId="6" fillId="24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5" xfId="0" applyNumberFormat="1" applyFont="1" applyBorder="1" applyAlignment="1" applyProtection="1">
      <alignment horizontal="center" vertical="center"/>
      <protection hidden="1"/>
    </xf>
    <xf numFmtId="2" fontId="12" fillId="0" borderId="18" xfId="0" applyNumberFormat="1" applyFont="1" applyBorder="1" applyAlignment="1" applyProtection="1">
      <alignment horizontal="center" vertical="center"/>
      <protection hidden="1"/>
    </xf>
    <xf numFmtId="2" fontId="12" fillId="0" borderId="12" xfId="0" applyNumberFormat="1" applyFont="1" applyBorder="1" applyAlignment="1" applyProtection="1">
      <alignment horizontal="center" vertical="center"/>
      <protection hidden="1"/>
    </xf>
    <xf numFmtId="2" fontId="12" fillId="0" borderId="19" xfId="0" applyNumberFormat="1" applyFont="1" applyBorder="1" applyAlignment="1" applyProtection="1">
      <alignment horizontal="center" vertical="center"/>
      <protection hidden="1"/>
    </xf>
    <xf numFmtId="2" fontId="12" fillId="0" borderId="13" xfId="0" applyNumberFormat="1" applyFont="1" applyBorder="1" applyAlignment="1" applyProtection="1">
      <alignment horizontal="center" vertical="center"/>
      <protection hidden="1"/>
    </xf>
    <xf numFmtId="2" fontId="12" fillId="0" borderId="20" xfId="0" applyNumberFormat="1" applyFont="1" applyBorder="1" applyAlignment="1" applyProtection="1">
      <alignment horizontal="center" vertical="center"/>
      <protection hidden="1"/>
    </xf>
    <xf numFmtId="165" fontId="68" fillId="21" borderId="3" xfId="4" applyNumberFormat="1" applyFont="1" applyFill="1" applyBorder="1" applyAlignment="1" applyProtection="1">
      <alignment horizontal="center" vertical="center"/>
      <protection hidden="1"/>
    </xf>
    <xf numFmtId="165" fontId="68" fillId="21" borderId="1" xfId="4" applyNumberFormat="1" applyFont="1" applyFill="1" applyBorder="1" applyAlignment="1" applyProtection="1">
      <alignment horizontal="center" vertical="center"/>
      <protection hidden="1"/>
    </xf>
    <xf numFmtId="165" fontId="68" fillId="21" borderId="2" xfId="4" applyNumberFormat="1" applyFont="1" applyFill="1" applyBorder="1" applyAlignment="1" applyProtection="1">
      <alignment horizontal="center" vertical="center"/>
      <protection hidden="1"/>
    </xf>
    <xf numFmtId="2" fontId="65" fillId="24" borderId="3" xfId="0" applyNumberFormat="1" applyFont="1" applyFill="1" applyBorder="1" applyAlignment="1" applyProtection="1">
      <alignment horizontal="center" vertical="center"/>
      <protection locked="0"/>
    </xf>
    <xf numFmtId="2" fontId="65" fillId="24" borderId="1" xfId="0" applyNumberFormat="1" applyFont="1" applyFill="1" applyBorder="1" applyAlignment="1" applyProtection="1">
      <alignment horizontal="center" vertical="center"/>
      <protection locked="0"/>
    </xf>
    <xf numFmtId="2" fontId="65" fillId="24" borderId="2" xfId="0" applyNumberFormat="1" applyFont="1" applyFill="1" applyBorder="1" applyAlignment="1" applyProtection="1">
      <alignment horizontal="center" vertical="center"/>
      <protection locked="0"/>
    </xf>
    <xf numFmtId="9" fontId="49" fillId="16" borderId="3" xfId="0" applyNumberFormat="1" applyFont="1" applyFill="1" applyBorder="1" applyAlignment="1" applyProtection="1">
      <alignment horizontal="center" vertical="center"/>
      <protection locked="0"/>
    </xf>
    <xf numFmtId="9" fontId="49" fillId="16" borderId="2" xfId="0" applyNumberFormat="1" applyFont="1" applyFill="1" applyBorder="1" applyAlignment="1" applyProtection="1">
      <alignment horizontal="center" vertical="center"/>
      <protection locked="0"/>
    </xf>
    <xf numFmtId="0" fontId="49" fillId="11" borderId="0" xfId="0" applyFont="1" applyFill="1" applyAlignment="1" applyProtection="1">
      <alignment horizontal="left"/>
      <protection hidden="1"/>
    </xf>
    <xf numFmtId="0" fontId="49" fillId="27" borderId="25" xfId="0" applyFont="1" applyFill="1" applyBorder="1" applyAlignment="1" applyProtection="1">
      <alignment horizontal="center" vertical="center" wrapText="1"/>
      <protection hidden="1"/>
    </xf>
    <xf numFmtId="0" fontId="49" fillId="27" borderId="18" xfId="0" applyFont="1" applyFill="1" applyBorder="1" applyAlignment="1" applyProtection="1">
      <alignment horizontal="center" vertical="center" wrapText="1"/>
      <protection hidden="1"/>
    </xf>
    <xf numFmtId="0" fontId="49" fillId="27" borderId="19" xfId="0" applyFont="1" applyFill="1" applyBorder="1" applyAlignment="1" applyProtection="1">
      <alignment horizontal="center" vertical="center" wrapText="1"/>
      <protection hidden="1"/>
    </xf>
    <xf numFmtId="0" fontId="49" fillId="27" borderId="13" xfId="0" applyFont="1" applyFill="1" applyBorder="1" applyAlignment="1" applyProtection="1">
      <alignment horizontal="center" vertical="center" wrapText="1"/>
      <protection hidden="1"/>
    </xf>
    <xf numFmtId="2" fontId="65" fillId="24" borderId="25" xfId="0" applyNumberFormat="1" applyFont="1" applyFill="1" applyBorder="1" applyAlignment="1" applyProtection="1">
      <alignment horizontal="center" vertical="center"/>
      <protection locked="0"/>
    </xf>
    <xf numFmtId="2" fontId="65" fillId="24" borderId="18" xfId="0" applyNumberFormat="1" applyFont="1" applyFill="1" applyBorder="1" applyAlignment="1" applyProtection="1">
      <alignment horizontal="center" vertical="center"/>
      <protection locked="0"/>
    </xf>
    <xf numFmtId="2" fontId="65" fillId="24" borderId="12" xfId="0" applyNumberFormat="1" applyFont="1" applyFill="1" applyBorder="1" applyAlignment="1" applyProtection="1">
      <alignment horizontal="center" vertical="center"/>
      <protection locked="0"/>
    </xf>
    <xf numFmtId="2" fontId="65" fillId="24" borderId="19" xfId="0" applyNumberFormat="1" applyFont="1" applyFill="1" applyBorder="1" applyAlignment="1" applyProtection="1">
      <alignment horizontal="center" vertical="center"/>
      <protection locked="0"/>
    </xf>
    <xf numFmtId="2" fontId="65" fillId="24" borderId="13" xfId="0" applyNumberFormat="1" applyFont="1" applyFill="1" applyBorder="1" applyAlignment="1" applyProtection="1">
      <alignment horizontal="center" vertical="center"/>
      <protection locked="0"/>
    </xf>
    <xf numFmtId="2" fontId="65" fillId="24" borderId="20" xfId="0" applyNumberFormat="1" applyFont="1" applyFill="1" applyBorder="1" applyAlignment="1" applyProtection="1">
      <alignment horizontal="center" vertical="center"/>
      <protection locked="0"/>
    </xf>
    <xf numFmtId="0" fontId="49" fillId="27" borderId="15" xfId="0" applyFont="1" applyFill="1" applyBorder="1" applyAlignment="1" applyProtection="1">
      <alignment horizontal="center" vertical="center" wrapText="1"/>
      <protection hidden="1"/>
    </xf>
    <xf numFmtId="0" fontId="49" fillId="27" borderId="0" xfId="0" applyFont="1" applyFill="1" applyAlignment="1" applyProtection="1">
      <alignment horizontal="center" vertical="center" wrapText="1"/>
      <protection hidden="1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20" xfId="0" applyFont="1" applyBorder="1" applyAlignment="1" applyProtection="1">
      <alignment horizontal="center" vertical="center" wrapText="1"/>
      <protection hidden="1"/>
    </xf>
    <xf numFmtId="0" fontId="2" fillId="0" borderId="15" xfId="0" quotePrefix="1" applyFont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0" fontId="68" fillId="21" borderId="18" xfId="0" applyFont="1" applyFill="1" applyBorder="1" applyAlignment="1" applyProtection="1">
      <alignment horizontal="center" vertical="center" wrapText="1"/>
      <protection hidden="1"/>
    </xf>
    <xf numFmtId="0" fontId="68" fillId="21" borderId="0" xfId="0" applyFont="1" applyFill="1" applyAlignment="1" applyProtection="1">
      <alignment horizontal="center" vertical="center" wrapText="1"/>
      <protection hidden="1"/>
    </xf>
    <xf numFmtId="0" fontId="68" fillId="21" borderId="13" xfId="0" applyFont="1" applyFill="1" applyBorder="1" applyAlignment="1" applyProtection="1">
      <alignment horizontal="center" vertical="center" wrapText="1"/>
      <protection hidden="1"/>
    </xf>
    <xf numFmtId="0" fontId="69" fillId="21" borderId="25" xfId="0" applyFont="1" applyFill="1" applyBorder="1" applyAlignment="1" applyProtection="1">
      <alignment horizontal="center" vertical="center" wrapText="1"/>
      <protection hidden="1"/>
    </xf>
    <xf numFmtId="0" fontId="69" fillId="21" borderId="18" xfId="0" applyFont="1" applyFill="1" applyBorder="1" applyAlignment="1" applyProtection="1">
      <alignment horizontal="center" vertical="center" wrapText="1"/>
      <protection hidden="1"/>
    </xf>
    <xf numFmtId="0" fontId="69" fillId="21" borderId="12" xfId="0" applyFont="1" applyFill="1" applyBorder="1" applyAlignment="1" applyProtection="1">
      <alignment horizontal="center" vertical="center" wrapText="1"/>
      <protection hidden="1"/>
    </xf>
    <xf numFmtId="0" fontId="69" fillId="21" borderId="15" xfId="0" applyFont="1" applyFill="1" applyBorder="1" applyAlignment="1" applyProtection="1">
      <alignment horizontal="center" vertical="center" wrapText="1"/>
      <protection hidden="1"/>
    </xf>
    <xf numFmtId="0" fontId="69" fillId="21" borderId="0" xfId="0" applyFont="1" applyFill="1" applyAlignment="1" applyProtection="1">
      <alignment horizontal="center" vertical="center" wrapText="1"/>
      <protection hidden="1"/>
    </xf>
    <xf numFmtId="0" fontId="69" fillId="21" borderId="14" xfId="0" applyFont="1" applyFill="1" applyBorder="1" applyAlignment="1" applyProtection="1">
      <alignment horizontal="center" vertical="center" wrapText="1"/>
      <protection hidden="1"/>
    </xf>
    <xf numFmtId="0" fontId="69" fillId="21" borderId="19" xfId="0" applyFont="1" applyFill="1" applyBorder="1" applyAlignment="1" applyProtection="1">
      <alignment horizontal="center" vertical="center" wrapText="1"/>
      <protection hidden="1"/>
    </xf>
    <xf numFmtId="0" fontId="69" fillId="21" borderId="13" xfId="0" applyFont="1" applyFill="1" applyBorder="1" applyAlignment="1" applyProtection="1">
      <alignment horizontal="center" vertical="center" wrapText="1"/>
      <protection hidden="1"/>
    </xf>
    <xf numFmtId="0" fontId="69" fillId="21" borderId="20" xfId="0" applyFont="1" applyFill="1" applyBorder="1" applyAlignment="1" applyProtection="1">
      <alignment horizontal="center" vertical="center" wrapText="1"/>
      <protection hidden="1"/>
    </xf>
    <xf numFmtId="1" fontId="12" fillId="11" borderId="25" xfId="0" applyNumberFormat="1" applyFont="1" applyFill="1" applyBorder="1" applyAlignment="1" applyProtection="1">
      <alignment horizontal="center" vertical="center"/>
      <protection hidden="1"/>
    </xf>
    <xf numFmtId="1" fontId="12" fillId="11" borderId="12" xfId="0" applyNumberFormat="1" applyFont="1" applyFill="1" applyBorder="1" applyAlignment="1" applyProtection="1">
      <alignment horizontal="center" vertical="center"/>
      <protection hidden="1"/>
    </xf>
    <xf numFmtId="0" fontId="73" fillId="29" borderId="13" xfId="0" applyFont="1" applyFill="1" applyBorder="1" applyAlignment="1" applyProtection="1">
      <alignment horizontal="center" vertical="center"/>
      <protection hidden="1"/>
    </xf>
    <xf numFmtId="2" fontId="49" fillId="0" borderId="26" xfId="0" applyNumberFormat="1" applyFont="1" applyBorder="1" applyAlignment="1" applyProtection="1">
      <alignment horizontal="center" vertical="center"/>
      <protection hidden="1"/>
    </xf>
    <xf numFmtId="2" fontId="49" fillId="0" borderId="17" xfId="0" applyNumberFormat="1" applyFont="1" applyBorder="1" applyAlignment="1" applyProtection="1">
      <alignment horizontal="center" vertical="center"/>
      <protection hidden="1"/>
    </xf>
    <xf numFmtId="2" fontId="49" fillId="0" borderId="27" xfId="0" applyNumberFormat="1" applyFont="1" applyBorder="1" applyAlignment="1" applyProtection="1">
      <alignment horizontal="center" vertical="center"/>
      <protection hidden="1"/>
    </xf>
    <xf numFmtId="44" fontId="0" fillId="0" borderId="16" xfId="3" applyFont="1" applyBorder="1" applyAlignment="1" applyProtection="1">
      <alignment horizontal="center"/>
      <protection hidden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0" fillId="11" borderId="26" xfId="0" applyNumberFormat="1" applyFill="1" applyBorder="1" applyAlignment="1" applyProtection="1">
      <alignment horizontal="center" vertical="center"/>
      <protection hidden="1"/>
    </xf>
    <xf numFmtId="2" fontId="0" fillId="11" borderId="27" xfId="0" applyNumberFormat="1" applyFill="1" applyBorder="1" applyAlignment="1" applyProtection="1">
      <alignment horizontal="center" vertical="center"/>
      <protection hidden="1"/>
    </xf>
    <xf numFmtId="2" fontId="45" fillId="11" borderId="25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8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2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9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3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90" fillId="38" borderId="13" xfId="0" applyFont="1" applyFill="1" applyBorder="1" applyAlignment="1" applyProtection="1">
      <alignment horizontal="left" vertical="top" wrapText="1"/>
      <protection hidden="1"/>
    </xf>
    <xf numFmtId="0" fontId="32" fillId="0" borderId="25" xfId="0" applyFont="1" applyBorder="1" applyAlignment="1" applyProtection="1">
      <alignment horizontal="center" vertical="center" wrapText="1"/>
      <protection hidden="1"/>
    </xf>
    <xf numFmtId="0" fontId="32" fillId="0" borderId="18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9" xfId="0" applyFont="1" applyBorder="1" applyAlignment="1" applyProtection="1">
      <alignment horizontal="center" vertical="center" wrapText="1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32" fillId="0" borderId="20" xfId="0" applyFont="1" applyBorder="1" applyAlignment="1" applyProtection="1">
      <alignment horizontal="center" vertical="center" wrapText="1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2" fontId="6" fillId="24" borderId="1" xfId="0" applyNumberFormat="1" applyFont="1" applyFill="1" applyBorder="1" applyAlignment="1" applyProtection="1">
      <alignment horizontal="center" vertical="center"/>
      <protection locked="0"/>
    </xf>
    <xf numFmtId="2" fontId="6" fillId="24" borderId="2" xfId="0" applyNumberFormat="1" applyFont="1" applyFill="1" applyBorder="1" applyAlignment="1" applyProtection="1">
      <alignment horizontal="center" vertical="center"/>
      <protection locked="0"/>
    </xf>
    <xf numFmtId="1" fontId="12" fillId="11" borderId="19" xfId="0" applyNumberFormat="1" applyFont="1" applyFill="1" applyBorder="1" applyAlignment="1" applyProtection="1">
      <alignment horizontal="center" vertical="center"/>
      <protection hidden="1"/>
    </xf>
    <xf numFmtId="1" fontId="12" fillId="11" borderId="20" xfId="0" applyNumberFormat="1" applyFont="1" applyFill="1" applyBorder="1" applyAlignment="1" applyProtection="1">
      <alignment horizontal="center" vertical="center"/>
      <protection hidden="1"/>
    </xf>
    <xf numFmtId="2" fontId="7" fillId="0" borderId="16" xfId="0" applyNumberFormat="1" applyFont="1" applyBorder="1" applyAlignment="1" applyProtection="1">
      <alignment horizontal="center" vertical="center"/>
      <protection hidden="1"/>
    </xf>
    <xf numFmtId="2" fontId="6" fillId="24" borderId="18" xfId="0" applyNumberFormat="1" applyFont="1" applyFill="1" applyBorder="1" applyAlignment="1" applyProtection="1">
      <alignment horizontal="center" vertical="center"/>
      <protection locked="0"/>
    </xf>
    <xf numFmtId="2" fontId="6" fillId="24" borderId="12" xfId="0" applyNumberFormat="1" applyFont="1" applyFill="1" applyBorder="1" applyAlignment="1" applyProtection="1">
      <alignment horizontal="center" vertical="center"/>
      <protection locked="0"/>
    </xf>
    <xf numFmtId="2" fontId="6" fillId="24" borderId="13" xfId="0" applyNumberFormat="1" applyFont="1" applyFill="1" applyBorder="1" applyAlignment="1" applyProtection="1">
      <alignment horizontal="center" vertical="center"/>
      <protection locked="0"/>
    </xf>
    <xf numFmtId="2" fontId="6" fillId="24" borderId="20" xfId="0" applyNumberFormat="1" applyFont="1" applyFill="1" applyBorder="1" applyAlignment="1" applyProtection="1">
      <alignment horizontal="center" vertical="center"/>
      <protection locked="0"/>
    </xf>
    <xf numFmtId="0" fontId="83" fillId="21" borderId="25" xfId="0" applyFont="1" applyFill="1" applyBorder="1" applyAlignment="1" applyProtection="1">
      <alignment horizontal="center" vertical="center" wrapText="1"/>
      <protection hidden="1"/>
    </xf>
    <xf numFmtId="0" fontId="83" fillId="21" borderId="18" xfId="0" applyFont="1" applyFill="1" applyBorder="1" applyAlignment="1" applyProtection="1">
      <alignment horizontal="center" vertical="center" wrapText="1"/>
      <protection hidden="1"/>
    </xf>
    <xf numFmtId="0" fontId="83" fillId="21" borderId="12" xfId="0" applyFont="1" applyFill="1" applyBorder="1" applyAlignment="1" applyProtection="1">
      <alignment horizontal="center" vertical="center" wrapText="1"/>
      <protection hidden="1"/>
    </xf>
    <xf numFmtId="0" fontId="83" fillId="21" borderId="15" xfId="0" applyFont="1" applyFill="1" applyBorder="1" applyAlignment="1" applyProtection="1">
      <alignment horizontal="center" vertical="center" wrapText="1"/>
      <protection hidden="1"/>
    </xf>
    <xf numFmtId="0" fontId="83" fillId="21" borderId="0" xfId="0" applyFont="1" applyFill="1" applyAlignment="1" applyProtection="1">
      <alignment horizontal="center" vertical="center" wrapText="1"/>
      <protection hidden="1"/>
    </xf>
    <xf numFmtId="0" fontId="83" fillId="21" borderId="14" xfId="0" applyFont="1" applyFill="1" applyBorder="1" applyAlignment="1" applyProtection="1">
      <alignment horizontal="center" vertical="center" wrapText="1"/>
      <protection hidden="1"/>
    </xf>
    <xf numFmtId="0" fontId="83" fillId="21" borderId="19" xfId="0" applyFont="1" applyFill="1" applyBorder="1" applyAlignment="1" applyProtection="1">
      <alignment horizontal="center" vertical="center" wrapText="1"/>
      <protection hidden="1"/>
    </xf>
    <xf numFmtId="0" fontId="83" fillId="21" borderId="13" xfId="0" applyFont="1" applyFill="1" applyBorder="1" applyAlignment="1" applyProtection="1">
      <alignment horizontal="center" vertical="center" wrapText="1"/>
      <protection hidden="1"/>
    </xf>
    <xf numFmtId="0" fontId="83" fillId="21" borderId="20" xfId="0" applyFont="1" applyFill="1" applyBorder="1" applyAlignment="1" applyProtection="1">
      <alignment horizontal="center" vertical="center" wrapText="1"/>
      <protection hidden="1"/>
    </xf>
    <xf numFmtId="164" fontId="75" fillId="27" borderId="16" xfId="0" applyNumberFormat="1" applyFont="1" applyFill="1" applyBorder="1" applyAlignment="1" applyProtection="1">
      <alignment horizontal="center"/>
      <protection hidden="1"/>
    </xf>
    <xf numFmtId="164" fontId="77" fillId="0" borderId="16" xfId="0" applyNumberFormat="1" applyFont="1" applyBorder="1" applyAlignment="1" applyProtection="1">
      <alignment horizontal="center"/>
      <protection hidden="1"/>
    </xf>
    <xf numFmtId="164" fontId="59" fillId="0" borderId="16" xfId="0" applyNumberFormat="1" applyFont="1" applyBorder="1" applyAlignment="1" applyProtection="1">
      <alignment horizontal="center"/>
      <protection hidden="1"/>
    </xf>
    <xf numFmtId="0" fontId="75" fillId="27" borderId="16" xfId="3" applyNumberFormat="1" applyFont="1" applyFill="1" applyBorder="1" applyAlignment="1" applyProtection="1">
      <alignment horizontal="center"/>
      <protection hidden="1"/>
    </xf>
    <xf numFmtId="44" fontId="75" fillId="27" borderId="16" xfId="3" applyFont="1" applyFill="1" applyBorder="1" applyAlignment="1" applyProtection="1">
      <alignment horizontal="center"/>
      <protection hidden="1"/>
    </xf>
    <xf numFmtId="0" fontId="59" fillId="11" borderId="16" xfId="3" applyNumberFormat="1" applyFont="1" applyFill="1" applyBorder="1" applyAlignment="1" applyProtection="1">
      <alignment horizontal="center"/>
      <protection hidden="1"/>
    </xf>
    <xf numFmtId="44" fontId="59" fillId="11" borderId="16" xfId="3" applyFont="1" applyFill="1" applyBorder="1" applyAlignment="1" applyProtection="1">
      <alignment horizontal="center"/>
      <protection hidden="1"/>
    </xf>
    <xf numFmtId="0" fontId="59" fillId="0" borderId="16" xfId="3" applyNumberFormat="1" applyFont="1" applyBorder="1" applyAlignment="1" applyProtection="1">
      <alignment horizontal="center"/>
      <protection hidden="1"/>
    </xf>
    <xf numFmtId="44" fontId="59" fillId="0" borderId="16" xfId="3" applyFont="1" applyBorder="1" applyAlignment="1" applyProtection="1">
      <alignment horizontal="center"/>
      <protection hidden="1"/>
    </xf>
    <xf numFmtId="164" fontId="59" fillId="11" borderId="16" xfId="0" applyNumberFormat="1" applyFont="1" applyFill="1" applyBorder="1" applyAlignment="1" applyProtection="1">
      <alignment horizontal="center"/>
      <protection hidden="1"/>
    </xf>
    <xf numFmtId="44" fontId="77" fillId="11" borderId="16" xfId="0" applyNumberFormat="1" applyFont="1" applyFill="1" applyBorder="1" applyAlignment="1" applyProtection="1">
      <alignment horizontal="center" vertical="center" wrapText="1"/>
      <protection hidden="1"/>
    </xf>
    <xf numFmtId="8" fontId="77" fillId="11" borderId="16" xfId="0" applyNumberFormat="1" applyFont="1" applyFill="1" applyBorder="1" applyAlignment="1" applyProtection="1">
      <alignment horizontal="right" vertical="center"/>
      <protection hidden="1"/>
    </xf>
    <xf numFmtId="44" fontId="77" fillId="11" borderId="16" xfId="0" applyNumberFormat="1" applyFont="1" applyFill="1" applyBorder="1" applyAlignment="1" applyProtection="1">
      <alignment horizontal="right" vertical="center"/>
      <protection hidden="1"/>
    </xf>
    <xf numFmtId="168" fontId="2" fillId="0" borderId="16" xfId="0" applyNumberFormat="1" applyFont="1" applyBorder="1" applyAlignment="1" applyProtection="1">
      <alignment horizontal="center" vertical="center"/>
      <protection hidden="1"/>
    </xf>
    <xf numFmtId="44" fontId="75" fillId="27" borderId="16" xfId="0" applyNumberFormat="1" applyFont="1" applyFill="1" applyBorder="1" applyAlignment="1" applyProtection="1">
      <alignment horizontal="center" vertical="center" wrapText="1"/>
      <protection hidden="1"/>
    </xf>
    <xf numFmtId="44" fontId="77" fillId="0" borderId="16" xfId="0" applyNumberFormat="1" applyFont="1" applyBorder="1" applyAlignment="1" applyProtection="1">
      <alignment horizontal="center" vertical="center" wrapText="1"/>
      <protection hidden="1"/>
    </xf>
    <xf numFmtId="8" fontId="75" fillId="27" borderId="16" xfId="0" applyNumberFormat="1" applyFont="1" applyFill="1" applyBorder="1" applyAlignment="1" applyProtection="1">
      <alignment horizontal="right" vertical="center"/>
      <protection hidden="1"/>
    </xf>
    <xf numFmtId="44" fontId="75" fillId="27" borderId="16" xfId="0" applyNumberFormat="1" applyFont="1" applyFill="1" applyBorder="1" applyAlignment="1" applyProtection="1">
      <alignment horizontal="right" vertical="center"/>
      <protection hidden="1"/>
    </xf>
    <xf numFmtId="8" fontId="77" fillId="0" borderId="16" xfId="0" applyNumberFormat="1" applyFont="1" applyBorder="1" applyAlignment="1" applyProtection="1">
      <alignment horizontal="right" vertical="center"/>
      <protection hidden="1"/>
    </xf>
    <xf numFmtId="44" fontId="77" fillId="0" borderId="16" xfId="0" applyNumberFormat="1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center" vertical="center" textRotation="90"/>
      <protection hidden="1"/>
    </xf>
    <xf numFmtId="0" fontId="1" fillId="0" borderId="25" xfId="0" applyFont="1" applyBorder="1" applyAlignment="1" applyProtection="1">
      <alignment horizontal="center" vertical="center" textRotation="90"/>
      <protection hidden="1"/>
    </xf>
    <xf numFmtId="0" fontId="1" fillId="11" borderId="16" xfId="0" applyFont="1" applyFill="1" applyBorder="1" applyAlignment="1" applyProtection="1">
      <alignment horizontal="center" vertical="center"/>
      <protection hidden="1"/>
    </xf>
    <xf numFmtId="0" fontId="52" fillId="21" borderId="16" xfId="4" applyFont="1" applyFill="1" applyBorder="1" applyAlignment="1" applyProtection="1">
      <alignment horizontal="center" vertical="center"/>
      <protection hidden="1"/>
    </xf>
    <xf numFmtId="0" fontId="52" fillId="21" borderId="15" xfId="0" applyFont="1" applyFill="1" applyBorder="1" applyAlignment="1" applyProtection="1">
      <alignment horizontal="center" vertical="center" wrapText="1"/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52" fillId="21" borderId="19" xfId="0" applyFont="1" applyFill="1" applyBorder="1" applyAlignment="1" applyProtection="1">
      <alignment horizontal="center" vertical="center" wrapText="1"/>
      <protection hidden="1"/>
    </xf>
    <xf numFmtId="0" fontId="52" fillId="21" borderId="1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44" fontId="11" fillId="0" borderId="3" xfId="0" applyNumberFormat="1" applyFont="1" applyBorder="1" applyAlignment="1" applyProtection="1">
      <alignment horizontal="center" vertical="center"/>
      <protection hidden="1"/>
    </xf>
    <xf numFmtId="44" fontId="11" fillId="0" borderId="1" xfId="0" applyNumberFormat="1" applyFont="1" applyBorder="1" applyAlignment="1" applyProtection="1">
      <alignment horizontal="center" vertical="center"/>
      <protection hidden="1"/>
    </xf>
    <xf numFmtId="44" fontId="11" fillId="0" borderId="2" xfId="0" applyNumberFormat="1" applyFont="1" applyBorder="1" applyAlignment="1" applyProtection="1">
      <alignment horizontal="center" vertical="center"/>
      <protection hidden="1"/>
    </xf>
    <xf numFmtId="44" fontId="89" fillId="24" borderId="1" xfId="0" applyNumberFormat="1" applyFont="1" applyFill="1" applyBorder="1" applyAlignment="1" applyProtection="1">
      <alignment horizontal="center" vertical="center"/>
      <protection locked="0"/>
    </xf>
    <xf numFmtId="44" fontId="89" fillId="24" borderId="2" xfId="0" applyNumberFormat="1" applyFont="1" applyFill="1" applyBorder="1" applyAlignment="1" applyProtection="1">
      <alignment horizontal="center" vertical="center"/>
      <protection locked="0"/>
    </xf>
    <xf numFmtId="0" fontId="62" fillId="11" borderId="0" xfId="0" applyFont="1" applyFill="1" applyAlignment="1" applyProtection="1">
      <alignment horizontal="left" vertical="center"/>
      <protection hidden="1"/>
    </xf>
    <xf numFmtId="0" fontId="62" fillId="11" borderId="0" xfId="0" applyFont="1" applyFill="1" applyAlignment="1" applyProtection="1">
      <alignment horizontal="left" vertical="top" wrapText="1"/>
      <protection hidden="1"/>
    </xf>
    <xf numFmtId="169" fontId="1" fillId="0" borderId="16" xfId="0" applyNumberFormat="1" applyFont="1" applyBorder="1" applyAlignment="1" applyProtection="1">
      <alignment horizontal="center" vertical="center"/>
      <protection hidden="1"/>
    </xf>
    <xf numFmtId="0" fontId="5" fillId="11" borderId="0" xfId="2" applyFill="1" applyAlignment="1" applyProtection="1">
      <alignment horizontal="center" vertical="center"/>
      <protection locked="0" hidden="1"/>
    </xf>
    <xf numFmtId="176" fontId="0" fillId="0" borderId="3" xfId="3" applyNumberFormat="1" applyFont="1" applyBorder="1" applyAlignment="1" applyProtection="1">
      <alignment horizontal="center"/>
      <protection hidden="1"/>
    </xf>
    <xf numFmtId="176" fontId="0" fillId="0" borderId="1" xfId="3" applyNumberFormat="1" applyFont="1" applyBorder="1" applyAlignment="1" applyProtection="1">
      <alignment horizontal="center"/>
      <protection hidden="1"/>
    </xf>
    <xf numFmtId="176" fontId="0" fillId="0" borderId="2" xfId="3" applyNumberFormat="1" applyFont="1" applyBorder="1" applyAlignment="1" applyProtection="1">
      <alignment horizontal="center"/>
      <protection hidden="1"/>
    </xf>
    <xf numFmtId="0" fontId="63" fillId="21" borderId="3" xfId="0" applyFont="1" applyFill="1" applyBorder="1" applyAlignment="1" applyProtection="1">
      <alignment horizontal="center" vertical="center" wrapText="1"/>
      <protection hidden="1"/>
    </xf>
    <xf numFmtId="0" fontId="63" fillId="21" borderId="1" xfId="0" applyFont="1" applyFill="1" applyBorder="1" applyAlignment="1" applyProtection="1">
      <alignment horizontal="center" vertical="center" wrapText="1"/>
      <protection hidden="1"/>
    </xf>
    <xf numFmtId="0" fontId="63" fillId="21" borderId="2" xfId="0" applyFont="1" applyFill="1" applyBorder="1" applyAlignment="1" applyProtection="1">
      <alignment horizontal="center" vertical="center" wrapText="1"/>
      <protection hidden="1"/>
    </xf>
    <xf numFmtId="2" fontId="45" fillId="11" borderId="26" xfId="0" applyNumberFormat="1" applyFont="1" applyFill="1" applyBorder="1" applyAlignment="1" applyProtection="1">
      <alignment horizontal="center" vertical="center"/>
      <protection hidden="1"/>
    </xf>
    <xf numFmtId="2" fontId="45" fillId="11" borderId="27" xfId="0" applyNumberFormat="1" applyFont="1" applyFill="1" applyBorder="1" applyAlignment="1" applyProtection="1">
      <alignment horizontal="center" vertical="center"/>
      <protection hidden="1"/>
    </xf>
    <xf numFmtId="164" fontId="52" fillId="21" borderId="16" xfId="0" applyNumberFormat="1" applyFont="1" applyFill="1" applyBorder="1" applyAlignment="1" applyProtection="1">
      <alignment horizontal="center" vertical="center"/>
      <protection hidden="1"/>
    </xf>
    <xf numFmtId="0" fontId="52" fillId="21" borderId="16" xfId="0" applyFont="1" applyFill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44" fontId="11" fillId="0" borderId="25" xfId="0" applyNumberFormat="1" applyFont="1" applyBorder="1" applyAlignment="1" applyProtection="1">
      <alignment horizontal="center" vertical="center"/>
      <protection hidden="1"/>
    </xf>
    <xf numFmtId="44" fontId="11" fillId="0" borderId="18" xfId="0" applyNumberFormat="1" applyFont="1" applyBorder="1" applyAlignment="1" applyProtection="1">
      <alignment horizontal="center" vertical="center"/>
      <protection hidden="1"/>
    </xf>
    <xf numFmtId="44" fontId="11" fillId="0" borderId="12" xfId="0" applyNumberFormat="1" applyFont="1" applyBorder="1" applyAlignment="1" applyProtection="1">
      <alignment horizontal="center" vertical="center"/>
      <protection hidden="1"/>
    </xf>
    <xf numFmtId="168" fontId="2" fillId="0" borderId="25" xfId="0" quotePrefix="1" applyNumberFormat="1" applyFont="1" applyBorder="1" applyAlignment="1" applyProtection="1">
      <alignment horizontal="center" vertical="center"/>
      <protection hidden="1"/>
    </xf>
    <xf numFmtId="168" fontId="2" fillId="0" borderId="18" xfId="0" quotePrefix="1" applyNumberFormat="1" applyFont="1" applyBorder="1" applyAlignment="1" applyProtection="1">
      <alignment horizontal="center" vertical="center"/>
      <protection hidden="1"/>
    </xf>
    <xf numFmtId="168" fontId="2" fillId="0" borderId="12" xfId="0" quotePrefix="1" applyNumberFormat="1" applyFont="1" applyBorder="1" applyAlignment="1" applyProtection="1">
      <alignment horizontal="center" vertical="center"/>
      <protection hidden="1"/>
    </xf>
    <xf numFmtId="168" fontId="2" fillId="0" borderId="19" xfId="0" quotePrefix="1" applyNumberFormat="1" applyFont="1" applyBorder="1" applyAlignment="1" applyProtection="1">
      <alignment horizontal="center" vertical="center"/>
      <protection hidden="1"/>
    </xf>
    <xf numFmtId="168" fontId="2" fillId="0" borderId="13" xfId="0" quotePrefix="1" applyNumberFormat="1" applyFont="1" applyBorder="1" applyAlignment="1" applyProtection="1">
      <alignment horizontal="center" vertical="center"/>
      <protection hidden="1"/>
    </xf>
    <xf numFmtId="168" fontId="2" fillId="0" borderId="20" xfId="0" quotePrefix="1" applyNumberFormat="1" applyFont="1" applyBorder="1" applyAlignment="1" applyProtection="1">
      <alignment horizontal="center" vertical="center"/>
      <protection hidden="1"/>
    </xf>
    <xf numFmtId="168" fontId="15" fillId="0" borderId="16" xfId="4" applyNumberFormat="1" applyFont="1" applyBorder="1" applyAlignment="1" applyProtection="1">
      <alignment horizontal="center" vertical="center"/>
      <protection hidden="1"/>
    </xf>
    <xf numFmtId="0" fontId="75" fillId="27" borderId="16" xfId="0" applyFont="1" applyFill="1" applyBorder="1" applyAlignment="1" applyProtection="1">
      <alignment horizontal="center" vertical="center"/>
      <protection hidden="1"/>
    </xf>
    <xf numFmtId="44" fontId="89" fillId="24" borderId="18" xfId="0" applyNumberFormat="1" applyFont="1" applyFill="1" applyBorder="1" applyAlignment="1" applyProtection="1">
      <alignment horizontal="center" vertical="center"/>
      <protection locked="0"/>
    </xf>
    <xf numFmtId="44" fontId="89" fillId="24" borderId="12" xfId="0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77" fillId="0" borderId="16" xfId="0" quotePrefix="1" applyFont="1" applyBorder="1" applyAlignment="1" applyProtection="1">
      <alignment horizontal="center" vertical="center"/>
      <protection hidden="1"/>
    </xf>
    <xf numFmtId="0" fontId="77" fillId="0" borderId="16" xfId="0" applyFont="1" applyBorder="1" applyAlignment="1" applyProtection="1">
      <alignment horizontal="center" vertical="center"/>
      <protection hidden="1"/>
    </xf>
    <xf numFmtId="0" fontId="77" fillId="11" borderId="16" xfId="0" quotePrefix="1" applyFont="1" applyFill="1" applyBorder="1" applyAlignment="1" applyProtection="1">
      <alignment horizontal="center" vertical="center"/>
      <protection hidden="1"/>
    </xf>
    <xf numFmtId="0" fontId="77" fillId="11" borderId="16" xfId="0" applyFont="1" applyFill="1" applyBorder="1" applyAlignment="1" applyProtection="1">
      <alignment horizontal="center" vertical="center"/>
      <protection hidden="1"/>
    </xf>
    <xf numFmtId="0" fontId="74" fillId="21" borderId="18" xfId="0" applyFont="1" applyFill="1" applyBorder="1" applyAlignment="1" applyProtection="1">
      <alignment horizontal="center" vertical="center" wrapText="1"/>
      <protection hidden="1"/>
    </xf>
    <xf numFmtId="0" fontId="74" fillId="21" borderId="0" xfId="0" applyFont="1" applyFill="1" applyAlignment="1" applyProtection="1">
      <alignment horizontal="center" vertical="center" wrapText="1"/>
      <protection hidden="1"/>
    </xf>
    <xf numFmtId="0" fontId="74" fillId="21" borderId="13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168" fontId="15" fillId="0" borderId="25" xfId="4" applyNumberFormat="1" applyFont="1" applyBorder="1" applyAlignment="1" applyProtection="1">
      <alignment horizontal="center" vertical="center"/>
      <protection hidden="1"/>
    </xf>
    <xf numFmtId="168" fontId="15" fillId="0" borderId="18" xfId="4" applyNumberFormat="1" applyFont="1" applyBorder="1" applyAlignment="1" applyProtection="1">
      <alignment horizontal="center" vertical="center"/>
      <protection hidden="1"/>
    </xf>
    <xf numFmtId="168" fontId="15" fillId="0" borderId="12" xfId="4" applyNumberFormat="1" applyFont="1" applyBorder="1" applyAlignment="1" applyProtection="1">
      <alignment horizontal="center" vertical="center"/>
      <protection hidden="1"/>
    </xf>
    <xf numFmtId="168" fontId="15" fillId="0" borderId="19" xfId="4" applyNumberFormat="1" applyFont="1" applyBorder="1" applyAlignment="1" applyProtection="1">
      <alignment horizontal="center" vertical="center"/>
      <protection hidden="1"/>
    </xf>
    <xf numFmtId="168" fontId="15" fillId="0" borderId="13" xfId="4" applyNumberFormat="1" applyFont="1" applyBorder="1" applyAlignment="1" applyProtection="1">
      <alignment horizontal="center" vertical="center"/>
      <protection hidden="1"/>
    </xf>
    <xf numFmtId="168" fontId="15" fillId="0" borderId="20" xfId="4" applyNumberFormat="1" applyFont="1" applyBorder="1" applyAlignment="1" applyProtection="1">
      <alignment horizontal="center" vertical="center"/>
      <protection hidden="1"/>
    </xf>
    <xf numFmtId="0" fontId="78" fillId="30" borderId="25" xfId="0" applyFont="1" applyFill="1" applyBorder="1" applyAlignment="1" applyProtection="1">
      <alignment horizontal="center" vertical="center" wrapText="1"/>
      <protection hidden="1"/>
    </xf>
    <xf numFmtId="0" fontId="78" fillId="30" borderId="18" xfId="0" applyFont="1" applyFill="1" applyBorder="1" applyAlignment="1" applyProtection="1">
      <alignment horizontal="center" vertical="center" wrapText="1"/>
      <protection hidden="1"/>
    </xf>
    <xf numFmtId="0" fontId="78" fillId="30" borderId="12" xfId="0" applyFont="1" applyFill="1" applyBorder="1" applyAlignment="1" applyProtection="1">
      <alignment horizontal="center" vertical="center" wrapText="1"/>
      <protection hidden="1"/>
    </xf>
    <xf numFmtId="0" fontId="78" fillId="30" borderId="19" xfId="0" applyFont="1" applyFill="1" applyBorder="1" applyAlignment="1" applyProtection="1">
      <alignment horizontal="center" vertical="center" wrapText="1"/>
      <protection hidden="1"/>
    </xf>
    <xf numFmtId="0" fontId="78" fillId="30" borderId="13" xfId="0" applyFont="1" applyFill="1" applyBorder="1" applyAlignment="1" applyProtection="1">
      <alignment horizontal="center" vertical="center" wrapText="1"/>
      <protection hidden="1"/>
    </xf>
    <xf numFmtId="0" fontId="78" fillId="30" borderId="20" xfId="0" applyFont="1" applyFill="1" applyBorder="1" applyAlignment="1" applyProtection="1">
      <alignment horizontal="center" vertical="center" wrapText="1"/>
      <protection hidden="1"/>
    </xf>
    <xf numFmtId="2" fontId="45" fillId="28" borderId="25" xfId="0" applyNumberFormat="1" applyFont="1" applyFill="1" applyBorder="1" applyAlignment="1" applyProtection="1">
      <alignment horizontal="center" vertical="center"/>
      <protection hidden="1"/>
    </xf>
    <xf numFmtId="2" fontId="45" fillId="28" borderId="18" xfId="0" applyNumberFormat="1" applyFont="1" applyFill="1" applyBorder="1" applyAlignment="1" applyProtection="1">
      <alignment horizontal="center" vertical="center"/>
      <protection hidden="1"/>
    </xf>
    <xf numFmtId="2" fontId="45" fillId="28" borderId="12" xfId="0" applyNumberFormat="1" applyFont="1" applyFill="1" applyBorder="1" applyAlignment="1" applyProtection="1">
      <alignment horizontal="center" vertical="center"/>
      <protection hidden="1"/>
    </xf>
    <xf numFmtId="2" fontId="45" fillId="28" borderId="19" xfId="0" applyNumberFormat="1" applyFont="1" applyFill="1" applyBorder="1" applyAlignment="1" applyProtection="1">
      <alignment horizontal="center" vertical="center"/>
      <protection hidden="1"/>
    </xf>
    <xf numFmtId="2" fontId="45" fillId="28" borderId="13" xfId="0" applyNumberFormat="1" applyFont="1" applyFill="1" applyBorder="1" applyAlignment="1" applyProtection="1">
      <alignment horizontal="center" vertical="center"/>
      <protection hidden="1"/>
    </xf>
    <xf numFmtId="2" fontId="45" fillId="28" borderId="20" xfId="0" applyNumberFormat="1" applyFont="1" applyFill="1" applyBorder="1" applyAlignment="1" applyProtection="1">
      <alignment horizontal="center" vertical="center"/>
      <protection hidden="1"/>
    </xf>
    <xf numFmtId="0" fontId="68" fillId="21" borderId="26" xfId="0" applyFont="1" applyFill="1" applyBorder="1" applyAlignment="1" applyProtection="1">
      <alignment horizontal="center" vertical="center" wrapText="1"/>
      <protection hidden="1"/>
    </xf>
    <xf numFmtId="0" fontId="68" fillId="21" borderId="17" xfId="0" applyFont="1" applyFill="1" applyBorder="1" applyAlignment="1" applyProtection="1">
      <alignment horizontal="center" vertical="center" wrapText="1"/>
      <protection hidden="1"/>
    </xf>
    <xf numFmtId="0" fontId="68" fillId="21" borderId="27" xfId="0" applyFont="1" applyFill="1" applyBorder="1" applyAlignment="1" applyProtection="1">
      <alignment horizontal="center" vertical="center" wrapText="1"/>
      <protection hidden="1"/>
    </xf>
    <xf numFmtId="0" fontId="52" fillId="21" borderId="25" xfId="0" applyFont="1" applyFill="1" applyBorder="1" applyAlignment="1" applyProtection="1">
      <alignment horizontal="center" vertical="center" wrapText="1"/>
      <protection hidden="1"/>
    </xf>
    <xf numFmtId="0" fontId="52" fillId="21" borderId="18" xfId="0" applyFont="1" applyFill="1" applyBorder="1" applyAlignment="1" applyProtection="1">
      <alignment horizontal="center" vertical="center" wrapText="1"/>
      <protection hidden="1"/>
    </xf>
    <xf numFmtId="0" fontId="52" fillId="21" borderId="12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7" fontId="72" fillId="24" borderId="3" xfId="0" applyNumberFormat="1" applyFont="1" applyFill="1" applyBorder="1" applyAlignment="1" applyProtection="1">
      <alignment horizontal="center" vertical="center"/>
      <protection locked="0"/>
    </xf>
    <xf numFmtId="7" fontId="72" fillId="24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3" xfId="0" applyNumberFormat="1" applyFont="1" applyBorder="1" applyAlignment="1" applyProtection="1">
      <alignment horizontal="center" vertical="center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2" fontId="12" fillId="0" borderId="2" xfId="0" applyNumberFormat="1" applyFont="1" applyBorder="1" applyAlignment="1" applyProtection="1">
      <alignment horizontal="center" vertical="center"/>
      <protection hidden="1"/>
    </xf>
    <xf numFmtId="164" fontId="43" fillId="11" borderId="3" xfId="4" applyNumberFormat="1" applyFont="1" applyFill="1" applyBorder="1" applyAlignment="1" applyProtection="1">
      <alignment horizontal="center" vertical="center"/>
      <protection hidden="1"/>
    </xf>
    <xf numFmtId="164" fontId="43" fillId="11" borderId="2" xfId="4" applyNumberFormat="1" applyFont="1" applyFill="1" applyBorder="1" applyAlignment="1" applyProtection="1">
      <alignment horizontal="center" vertical="center"/>
      <protection hidden="1"/>
    </xf>
    <xf numFmtId="0" fontId="66" fillId="21" borderId="26" xfId="0" applyFont="1" applyFill="1" applyBorder="1" applyAlignment="1" applyProtection="1">
      <alignment horizontal="center" vertical="center" wrapText="1"/>
      <protection hidden="1"/>
    </xf>
    <xf numFmtId="0" fontId="66" fillId="21" borderId="17" xfId="0" applyFont="1" applyFill="1" applyBorder="1" applyAlignment="1" applyProtection="1">
      <alignment horizontal="center" vertical="center" wrapText="1"/>
      <protection hidden="1"/>
    </xf>
    <xf numFmtId="0" fontId="66" fillId="21" borderId="2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80" fillId="21" borderId="0" xfId="0" applyFont="1" applyFill="1" applyAlignment="1" applyProtection="1">
      <alignment horizontal="center" vertical="center"/>
      <protection hidden="1"/>
    </xf>
    <xf numFmtId="1" fontId="81" fillId="21" borderId="0" xfId="0" applyNumberFormat="1" applyFont="1" applyFill="1" applyAlignment="1" applyProtection="1">
      <alignment horizontal="center" vertical="center"/>
      <protection hidden="1"/>
    </xf>
    <xf numFmtId="0" fontId="82" fillId="27" borderId="16" xfId="0" applyFont="1" applyFill="1" applyBorder="1" applyAlignment="1" applyProtection="1">
      <alignment horizontal="center" vertical="center" wrapText="1"/>
      <protection hidden="1"/>
    </xf>
    <xf numFmtId="0" fontId="12" fillId="11" borderId="25" xfId="0" applyFont="1" applyFill="1" applyBorder="1" applyAlignment="1" applyProtection="1">
      <alignment horizontal="center" vertical="center"/>
      <protection hidden="1"/>
    </xf>
    <xf numFmtId="0" fontId="12" fillId="11" borderId="12" xfId="0" applyFont="1" applyFill="1" applyBorder="1" applyAlignment="1" applyProtection="1">
      <alignment horizontal="center" vertical="center"/>
      <protection hidden="1"/>
    </xf>
    <xf numFmtId="0" fontId="12" fillId="11" borderId="19" xfId="0" applyFont="1" applyFill="1" applyBorder="1" applyAlignment="1" applyProtection="1">
      <alignment horizontal="center" vertical="center"/>
      <protection hidden="1"/>
    </xf>
    <xf numFmtId="0" fontId="12" fillId="11" borderId="20" xfId="0" applyFont="1" applyFill="1" applyBorder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/>
      <protection locked="0" hidden="1"/>
    </xf>
    <xf numFmtId="0" fontId="72" fillId="0" borderId="15" xfId="0" applyFont="1" applyBorder="1" applyAlignment="1" applyProtection="1">
      <alignment horizontal="right"/>
      <protection hidden="1"/>
    </xf>
    <xf numFmtId="0" fontId="72" fillId="0" borderId="0" xfId="0" applyFont="1" applyAlignment="1" applyProtection="1">
      <alignment horizontal="right"/>
      <protection hidden="1"/>
    </xf>
    <xf numFmtId="0" fontId="56" fillId="21" borderId="0" xfId="0" applyFont="1" applyFill="1" applyAlignment="1" applyProtection="1">
      <alignment horizontal="center" vertical="center"/>
      <protection hidden="1"/>
    </xf>
    <xf numFmtId="0" fontId="49" fillId="16" borderId="3" xfId="0" applyFont="1" applyFill="1" applyBorder="1" applyAlignment="1" applyProtection="1">
      <alignment horizontal="center" vertical="center"/>
      <protection locked="0"/>
    </xf>
    <xf numFmtId="0" fontId="49" fillId="16" borderId="2" xfId="0" applyFont="1" applyFill="1" applyBorder="1" applyAlignment="1" applyProtection="1">
      <alignment horizontal="center" vertical="center"/>
      <protection locked="0"/>
    </xf>
    <xf numFmtId="0" fontId="79" fillId="11" borderId="0" xfId="4" applyFont="1" applyFill="1" applyAlignment="1" applyProtection="1">
      <alignment horizontal="left"/>
      <protection hidden="1"/>
    </xf>
    <xf numFmtId="172" fontId="49" fillId="24" borderId="0" xfId="0" applyNumberFormat="1" applyFont="1" applyFill="1" applyAlignment="1" applyProtection="1">
      <alignment horizontal="center" vertical="center"/>
      <protection locked="0" hidden="1"/>
    </xf>
    <xf numFmtId="0" fontId="49" fillId="27" borderId="3" xfId="0" applyFont="1" applyFill="1" applyBorder="1" applyAlignment="1" applyProtection="1">
      <alignment horizontal="center" vertical="center" wrapText="1"/>
      <protection hidden="1"/>
    </xf>
    <xf numFmtId="0" fontId="49" fillId="27" borderId="1" xfId="0" applyFont="1" applyFill="1" applyBorder="1" applyAlignment="1" applyProtection="1">
      <alignment horizontal="center" vertical="center" wrapText="1"/>
      <protection hidden="1"/>
    </xf>
    <xf numFmtId="0" fontId="85" fillId="21" borderId="18" xfId="0" applyFont="1" applyFill="1" applyBorder="1" applyAlignment="1" applyProtection="1">
      <alignment horizontal="center" vertical="center" wrapText="1"/>
      <protection hidden="1"/>
    </xf>
    <xf numFmtId="0" fontId="85" fillId="21" borderId="12" xfId="0" applyFont="1" applyFill="1" applyBorder="1" applyAlignment="1" applyProtection="1">
      <alignment horizontal="center" vertical="center" wrapText="1"/>
      <protection hidden="1"/>
    </xf>
    <xf numFmtId="0" fontId="85" fillId="21" borderId="0" xfId="0" applyFont="1" applyFill="1" applyAlignment="1" applyProtection="1">
      <alignment horizontal="center" vertical="center" wrapText="1"/>
      <protection hidden="1"/>
    </xf>
    <xf numFmtId="0" fontId="85" fillId="21" borderId="14" xfId="0" applyFont="1" applyFill="1" applyBorder="1" applyAlignment="1" applyProtection="1">
      <alignment horizontal="center" vertical="center" wrapText="1"/>
      <protection hidden="1"/>
    </xf>
    <xf numFmtId="0" fontId="85" fillId="21" borderId="13" xfId="0" applyFont="1" applyFill="1" applyBorder="1" applyAlignment="1" applyProtection="1">
      <alignment horizontal="center" vertical="center" wrapText="1"/>
      <protection hidden="1"/>
    </xf>
    <xf numFmtId="0" fontId="85" fillId="21" borderId="20" xfId="0" applyFont="1" applyFill="1" applyBorder="1" applyAlignment="1" applyProtection="1">
      <alignment horizontal="center" vertical="center" wrapText="1"/>
      <protection hidden="1"/>
    </xf>
    <xf numFmtId="44" fontId="0" fillId="0" borderId="1" xfId="0" applyNumberFormat="1" applyBorder="1" applyAlignment="1" applyProtection="1">
      <alignment horizontal="center" wrapText="1"/>
      <protection hidden="1"/>
    </xf>
    <xf numFmtId="44" fontId="0" fillId="0" borderId="2" xfId="0" applyNumberFormat="1" applyBorder="1" applyAlignment="1" applyProtection="1">
      <alignment horizontal="center" wrapText="1"/>
      <protection hidden="1"/>
    </xf>
    <xf numFmtId="0" fontId="52" fillId="21" borderId="14" xfId="0" applyFont="1" applyFill="1" applyBorder="1" applyAlignment="1" applyProtection="1">
      <alignment horizontal="center" vertical="center" wrapText="1"/>
      <protection hidden="1"/>
    </xf>
    <xf numFmtId="0" fontId="52" fillId="21" borderId="20" xfId="0" applyFont="1" applyFill="1" applyBorder="1" applyAlignment="1" applyProtection="1">
      <alignment horizontal="center" vertical="center" wrapText="1"/>
      <protection hidden="1"/>
    </xf>
    <xf numFmtId="0" fontId="58" fillId="21" borderId="25" xfId="0" applyFont="1" applyFill="1" applyBorder="1" applyAlignment="1" applyProtection="1">
      <alignment horizontal="center" vertical="center" wrapText="1"/>
      <protection hidden="1"/>
    </xf>
    <xf numFmtId="0" fontId="58" fillId="21" borderId="18" xfId="0" applyFont="1" applyFill="1" applyBorder="1" applyAlignment="1" applyProtection="1">
      <alignment horizontal="center" vertical="center" wrapText="1"/>
      <protection hidden="1"/>
    </xf>
    <xf numFmtId="0" fontId="58" fillId="21" borderId="12" xfId="0" applyFont="1" applyFill="1" applyBorder="1" applyAlignment="1" applyProtection="1">
      <alignment horizontal="center" vertical="center" wrapText="1"/>
      <protection hidden="1"/>
    </xf>
    <xf numFmtId="0" fontId="58" fillId="21" borderId="15" xfId="0" applyFont="1" applyFill="1" applyBorder="1" applyAlignment="1" applyProtection="1">
      <alignment horizontal="center" vertical="center" wrapText="1"/>
      <protection hidden="1"/>
    </xf>
    <xf numFmtId="0" fontId="58" fillId="21" borderId="0" xfId="0" applyFont="1" applyFill="1" applyAlignment="1" applyProtection="1">
      <alignment horizontal="center" vertical="center" wrapText="1"/>
      <protection hidden="1"/>
    </xf>
    <xf numFmtId="0" fontId="58" fillId="21" borderId="14" xfId="0" applyFont="1" applyFill="1" applyBorder="1" applyAlignment="1" applyProtection="1">
      <alignment horizontal="center" vertical="center" wrapText="1"/>
      <protection hidden="1"/>
    </xf>
    <xf numFmtId="0" fontId="58" fillId="21" borderId="19" xfId="0" applyFont="1" applyFill="1" applyBorder="1" applyAlignment="1" applyProtection="1">
      <alignment horizontal="center" vertical="center" wrapText="1"/>
      <protection hidden="1"/>
    </xf>
    <xf numFmtId="0" fontId="58" fillId="21" borderId="13" xfId="0" applyFont="1" applyFill="1" applyBorder="1" applyAlignment="1" applyProtection="1">
      <alignment horizontal="center" vertical="center" wrapText="1"/>
      <protection hidden="1"/>
    </xf>
    <xf numFmtId="0" fontId="58" fillId="21" borderId="20" xfId="0" applyFont="1" applyFill="1" applyBorder="1" applyAlignment="1" applyProtection="1">
      <alignment horizontal="center" vertical="center" wrapText="1"/>
      <protection hidden="1"/>
    </xf>
    <xf numFmtId="0" fontId="90" fillId="38" borderId="18" xfId="0" applyFont="1" applyFill="1" applyBorder="1" applyAlignment="1" applyProtection="1">
      <alignment horizontal="center" wrapText="1"/>
      <protection hidden="1"/>
    </xf>
    <xf numFmtId="0" fontId="63" fillId="21" borderId="25" xfId="0" applyFont="1" applyFill="1" applyBorder="1" applyAlignment="1" applyProtection="1">
      <alignment horizontal="center" vertical="center" wrapText="1"/>
      <protection hidden="1"/>
    </xf>
    <xf numFmtId="0" fontId="63" fillId="21" borderId="18" xfId="0" applyFont="1" applyFill="1" applyBorder="1" applyAlignment="1" applyProtection="1">
      <alignment horizontal="center" vertical="center" wrapText="1"/>
      <protection hidden="1"/>
    </xf>
    <xf numFmtId="0" fontId="63" fillId="21" borderId="12" xfId="0" applyFont="1" applyFill="1" applyBorder="1" applyAlignment="1" applyProtection="1">
      <alignment horizontal="center" vertical="center" wrapText="1"/>
      <protection hidden="1"/>
    </xf>
    <xf numFmtId="0" fontId="63" fillId="21" borderId="15" xfId="0" applyFont="1" applyFill="1" applyBorder="1" applyAlignment="1" applyProtection="1">
      <alignment horizontal="center" vertical="center" wrapText="1"/>
      <protection hidden="1"/>
    </xf>
    <xf numFmtId="0" fontId="63" fillId="21" borderId="0" xfId="0" applyFont="1" applyFill="1" applyAlignment="1" applyProtection="1">
      <alignment horizontal="center" vertical="center" wrapText="1"/>
      <protection hidden="1"/>
    </xf>
    <xf numFmtId="0" fontId="63" fillId="21" borderId="14" xfId="0" applyFont="1" applyFill="1" applyBorder="1" applyAlignment="1" applyProtection="1">
      <alignment horizontal="center" vertical="center" wrapText="1"/>
      <protection hidden="1"/>
    </xf>
    <xf numFmtId="0" fontId="63" fillId="21" borderId="19" xfId="0" applyFont="1" applyFill="1" applyBorder="1" applyAlignment="1" applyProtection="1">
      <alignment horizontal="center" vertical="center" wrapText="1"/>
      <protection hidden="1"/>
    </xf>
    <xf numFmtId="0" fontId="63" fillId="21" borderId="13" xfId="0" applyFont="1" applyFill="1" applyBorder="1" applyAlignment="1" applyProtection="1">
      <alignment horizontal="center" vertical="center" wrapText="1"/>
      <protection hidden="1"/>
    </xf>
    <xf numFmtId="0" fontId="63" fillId="21" borderId="20" xfId="0" applyFont="1" applyFill="1" applyBorder="1" applyAlignment="1" applyProtection="1">
      <alignment horizontal="center" vertical="center" wrapText="1"/>
      <protection hidden="1"/>
    </xf>
    <xf numFmtId="0" fontId="5" fillId="0" borderId="0" xfId="2" applyAlignment="1" applyProtection="1">
      <alignment horizontal="center"/>
      <protection locked="0" hidden="1"/>
    </xf>
    <xf numFmtId="0" fontId="45" fillId="19" borderId="25" xfId="0" applyFont="1" applyFill="1" applyBorder="1" applyAlignment="1" applyProtection="1">
      <alignment horizontal="center" vertical="center" wrapText="1"/>
      <protection hidden="1"/>
    </xf>
    <xf numFmtId="0" fontId="45" fillId="19" borderId="18" xfId="0" applyFont="1" applyFill="1" applyBorder="1" applyAlignment="1" applyProtection="1">
      <alignment horizontal="center" vertical="center" wrapText="1"/>
      <protection hidden="1"/>
    </xf>
    <xf numFmtId="0" fontId="45" fillId="19" borderId="12" xfId="0" applyFont="1" applyFill="1" applyBorder="1" applyAlignment="1" applyProtection="1">
      <alignment horizontal="center" vertical="center" wrapText="1"/>
      <protection hidden="1"/>
    </xf>
    <xf numFmtId="0" fontId="45" fillId="19" borderId="19" xfId="0" applyFont="1" applyFill="1" applyBorder="1" applyAlignment="1" applyProtection="1">
      <alignment horizontal="center" vertical="center" wrapText="1"/>
      <protection hidden="1"/>
    </xf>
    <xf numFmtId="0" fontId="45" fillId="19" borderId="13" xfId="0" applyFont="1" applyFill="1" applyBorder="1" applyAlignment="1" applyProtection="1">
      <alignment horizontal="center" vertical="center" wrapText="1"/>
      <protection hidden="1"/>
    </xf>
    <xf numFmtId="0" fontId="45" fillId="19" borderId="20" xfId="0" applyFont="1" applyFill="1" applyBorder="1" applyAlignment="1" applyProtection="1">
      <alignment horizontal="center" vertical="center" wrapText="1"/>
      <protection hidden="1"/>
    </xf>
    <xf numFmtId="0" fontId="62" fillId="11" borderId="13" xfId="0" applyFont="1" applyFill="1" applyBorder="1" applyAlignment="1" applyProtection="1">
      <alignment horizontal="left" vertical="top"/>
      <protection hidden="1"/>
    </xf>
    <xf numFmtId="1" fontId="0" fillId="11" borderId="25" xfId="0" applyNumberFormat="1" applyFill="1" applyBorder="1" applyAlignment="1" applyProtection="1">
      <alignment horizontal="center" vertical="center"/>
      <protection hidden="1"/>
    </xf>
    <xf numFmtId="1" fontId="0" fillId="11" borderId="12" xfId="0" applyNumberFormat="1" applyFill="1" applyBorder="1" applyAlignment="1" applyProtection="1">
      <alignment horizontal="center" vertical="center"/>
      <protection hidden="1"/>
    </xf>
    <xf numFmtId="1" fontId="0" fillId="11" borderId="19" xfId="0" applyNumberFormat="1" applyFill="1" applyBorder="1" applyAlignment="1" applyProtection="1">
      <alignment horizontal="center" vertical="center"/>
      <protection hidden="1"/>
    </xf>
    <xf numFmtId="1" fontId="0" fillId="11" borderId="20" xfId="0" applyNumberFormat="1" applyFill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wrapText="1"/>
      <protection hidden="1"/>
    </xf>
    <xf numFmtId="0" fontId="86" fillId="21" borderId="3" xfId="0" applyFont="1" applyFill="1" applyBorder="1" applyAlignment="1" applyProtection="1">
      <alignment horizontal="center" vertical="center" wrapText="1"/>
      <protection hidden="1"/>
    </xf>
    <xf numFmtId="0" fontId="86" fillId="21" borderId="1" xfId="0" applyFont="1" applyFill="1" applyBorder="1" applyAlignment="1" applyProtection="1">
      <alignment horizontal="center" vertical="center" wrapText="1"/>
      <protection hidden="1"/>
    </xf>
    <xf numFmtId="0" fontId="86" fillId="21" borderId="2" xfId="0" applyFont="1" applyFill="1" applyBorder="1" applyAlignment="1" applyProtection="1">
      <alignment horizontal="center" vertical="center" wrapText="1"/>
      <protection hidden="1"/>
    </xf>
    <xf numFmtId="1" fontId="0" fillId="0" borderId="3" xfId="0" applyNumberFormat="1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wrapText="1"/>
      <protection hidden="1"/>
    </xf>
    <xf numFmtId="1" fontId="0" fillId="0" borderId="2" xfId="0" applyNumberFormat="1" applyBorder="1" applyAlignment="1" applyProtection="1">
      <alignment horizontal="center" wrapText="1"/>
      <protection hidden="1"/>
    </xf>
    <xf numFmtId="2" fontId="0" fillId="0" borderId="3" xfId="0" applyNumberFormat="1" applyBorder="1" applyAlignment="1" applyProtection="1">
      <alignment horizontal="center" wrapText="1"/>
      <protection hidden="1"/>
    </xf>
    <xf numFmtId="164" fontId="0" fillId="0" borderId="3" xfId="0" applyNumberFormat="1" applyBorder="1" applyAlignment="1" applyProtection="1">
      <alignment horizontal="center" wrapText="1"/>
      <protection hidden="1"/>
    </xf>
    <xf numFmtId="175" fontId="0" fillId="0" borderId="0" xfId="7" applyNumberFormat="1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44" fontId="1" fillId="0" borderId="3" xfId="0" applyNumberFormat="1" applyFont="1" applyBorder="1" applyAlignment="1" applyProtection="1">
      <alignment horizontal="center" wrapText="1"/>
      <protection hidden="1"/>
    </xf>
    <xf numFmtId="44" fontId="1" fillId="0" borderId="1" xfId="0" applyNumberFormat="1" applyFont="1" applyBorder="1" applyAlignment="1" applyProtection="1">
      <alignment horizontal="center" wrapText="1"/>
      <protection hidden="1"/>
    </xf>
    <xf numFmtId="44" fontId="1" fillId="0" borderId="2" xfId="0" applyNumberFormat="1" applyFont="1" applyBorder="1" applyAlignment="1" applyProtection="1">
      <alignment horizontal="center" wrapText="1"/>
      <protection hidden="1"/>
    </xf>
    <xf numFmtId="9" fontId="41" fillId="24" borderId="3" xfId="7" applyFont="1" applyFill="1" applyBorder="1" applyAlignment="1" applyProtection="1">
      <alignment horizontal="center" wrapText="1"/>
      <protection locked="0"/>
    </xf>
    <xf numFmtId="9" fontId="41" fillId="24" borderId="2" xfId="7" applyFont="1" applyFill="1" applyBorder="1" applyAlignment="1" applyProtection="1">
      <alignment horizontal="center" wrapText="1"/>
      <protection locked="0"/>
    </xf>
    <xf numFmtId="176" fontId="2" fillId="24" borderId="1" xfId="3" applyNumberFormat="1" applyFont="1" applyFill="1" applyBorder="1" applyAlignment="1" applyProtection="1">
      <alignment horizontal="center" vertical="center"/>
      <protection locked="0"/>
    </xf>
    <xf numFmtId="176" fontId="2" fillId="24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14" fontId="1" fillId="24" borderId="0" xfId="0" applyNumberFormat="1" applyFont="1" applyFill="1" applyAlignment="1" applyProtection="1">
      <alignment horizontal="center" vertical="center"/>
      <protection locked="0" hidden="1"/>
    </xf>
    <xf numFmtId="172" fontId="1" fillId="24" borderId="0" xfId="0" applyNumberFormat="1" applyFont="1" applyFill="1" applyAlignment="1" applyProtection="1">
      <alignment horizontal="center" vertical="center"/>
      <protection locked="0" hidden="1"/>
    </xf>
    <xf numFmtId="0" fontId="36" fillId="27" borderId="1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164" fontId="2" fillId="21" borderId="16" xfId="0" applyNumberFormat="1" applyFont="1" applyFill="1" applyBorder="1" applyAlignment="1" applyProtection="1">
      <alignment horizontal="center" vertical="center"/>
      <protection locked="0" hidden="1"/>
    </xf>
    <xf numFmtId="0" fontId="1" fillId="28" borderId="25" xfId="0" applyFont="1" applyFill="1" applyBorder="1" applyAlignment="1" applyProtection="1">
      <alignment horizontal="center" vertical="center"/>
      <protection hidden="1"/>
    </xf>
    <xf numFmtId="0" fontId="1" fillId="28" borderId="18" xfId="0" applyFont="1" applyFill="1" applyBorder="1" applyAlignment="1" applyProtection="1">
      <alignment horizontal="center" vertical="center"/>
      <protection hidden="1"/>
    </xf>
    <xf numFmtId="0" fontId="1" fillId="28" borderId="12" xfId="0" applyFont="1" applyFill="1" applyBorder="1" applyAlignment="1" applyProtection="1">
      <alignment horizontal="center" vertical="center"/>
      <protection hidden="1"/>
    </xf>
    <xf numFmtId="0" fontId="1" fillId="28" borderId="19" xfId="0" applyFont="1" applyFill="1" applyBorder="1" applyAlignment="1" applyProtection="1">
      <alignment horizontal="center" vertical="center"/>
      <protection hidden="1"/>
    </xf>
    <xf numFmtId="0" fontId="1" fillId="28" borderId="13" xfId="0" applyFont="1" applyFill="1" applyBorder="1" applyAlignment="1" applyProtection="1">
      <alignment horizontal="center" vertical="center"/>
      <protection hidden="1"/>
    </xf>
    <xf numFmtId="0" fontId="1" fillId="28" borderId="20" xfId="0" applyFont="1" applyFill="1" applyBorder="1" applyAlignment="1" applyProtection="1">
      <alignment horizontal="center" vertical="center"/>
      <protection hidden="1"/>
    </xf>
    <xf numFmtId="0" fontId="1" fillId="28" borderId="25" xfId="0" applyFont="1" applyFill="1" applyBorder="1" applyAlignment="1" applyProtection="1">
      <alignment horizontal="center" vertical="center" wrapText="1"/>
      <protection hidden="1"/>
    </xf>
    <xf numFmtId="0" fontId="1" fillId="28" borderId="18" xfId="0" applyFont="1" applyFill="1" applyBorder="1" applyAlignment="1" applyProtection="1">
      <alignment horizontal="center" vertical="center" wrapText="1"/>
      <protection hidden="1"/>
    </xf>
    <xf numFmtId="0" fontId="1" fillId="28" borderId="12" xfId="0" applyFont="1" applyFill="1" applyBorder="1" applyAlignment="1" applyProtection="1">
      <alignment horizontal="center" vertical="center" wrapText="1"/>
      <protection hidden="1"/>
    </xf>
    <xf numFmtId="0" fontId="1" fillId="28" borderId="19" xfId="0" applyFont="1" applyFill="1" applyBorder="1" applyAlignment="1" applyProtection="1">
      <alignment horizontal="center" vertical="center" wrapText="1"/>
      <protection hidden="1"/>
    </xf>
    <xf numFmtId="0" fontId="1" fillId="28" borderId="13" xfId="0" applyFont="1" applyFill="1" applyBorder="1" applyAlignment="1" applyProtection="1">
      <alignment horizontal="center" vertical="center" wrapText="1"/>
      <protection hidden="1"/>
    </xf>
    <xf numFmtId="0" fontId="1" fillId="28" borderId="20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0" fontId="1" fillId="13" borderId="2" xfId="0" applyFont="1" applyFill="1" applyBorder="1" applyAlignment="1" applyProtection="1">
      <alignment horizontal="center" vertical="center"/>
      <protection hidden="1"/>
    </xf>
    <xf numFmtId="0" fontId="1" fillId="33" borderId="16" xfId="0" quotePrefix="1" applyFont="1" applyFill="1" applyBorder="1" applyAlignment="1" applyProtection="1">
      <alignment horizontal="center" vertical="center"/>
      <protection hidden="1"/>
    </xf>
    <xf numFmtId="0" fontId="1" fillId="33" borderId="16" xfId="0" applyFont="1" applyFill="1" applyBorder="1" applyAlignment="1" applyProtection="1">
      <alignment horizontal="center" vertical="center"/>
      <protection hidden="1"/>
    </xf>
    <xf numFmtId="164" fontId="15" fillId="21" borderId="16" xfId="4" applyNumberFormat="1" applyFont="1" applyFill="1" applyBorder="1" applyAlignment="1" applyProtection="1">
      <alignment horizontal="center" vertical="center"/>
      <protection locked="0" hidden="1"/>
    </xf>
    <xf numFmtId="164" fontId="2" fillId="11" borderId="25" xfId="0" quotePrefix="1" applyNumberFormat="1" applyFont="1" applyFill="1" applyBorder="1" applyAlignment="1" applyProtection="1">
      <alignment horizontal="right" vertical="center"/>
      <protection locked="0"/>
    </xf>
    <xf numFmtId="164" fontId="2" fillId="11" borderId="19" xfId="0" quotePrefix="1" applyNumberFormat="1" applyFont="1" applyFill="1" applyBorder="1" applyAlignment="1" applyProtection="1">
      <alignment horizontal="right" vertical="center"/>
      <protection locked="0"/>
    </xf>
    <xf numFmtId="168" fontId="2" fillId="21" borderId="18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14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4" borderId="27" xfId="0" quotePrefix="1" applyNumberFormat="1" applyFont="1" applyFill="1" applyBorder="1" applyAlignment="1" applyProtection="1">
      <alignment horizontal="center" vertical="center"/>
      <protection hidden="1"/>
    </xf>
    <xf numFmtId="0" fontId="1" fillId="31" borderId="16" xfId="0" applyFont="1" applyFill="1" applyBorder="1" applyAlignment="1" applyProtection="1">
      <alignment horizontal="center" vertical="center"/>
      <protection hidden="1"/>
    </xf>
    <xf numFmtId="164" fontId="15" fillId="19" borderId="16" xfId="4" applyNumberFormat="1" applyFont="1" applyFill="1" applyBorder="1" applyAlignment="1" applyProtection="1">
      <alignment horizontal="center" vertical="center"/>
      <protection hidden="1"/>
    </xf>
    <xf numFmtId="164" fontId="2" fillId="11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1" borderId="27" xfId="0" quotePrefix="1" applyNumberFormat="1" applyFont="1" applyFill="1" applyBorder="1" applyAlignment="1" applyProtection="1">
      <alignment horizontal="center" vertical="center"/>
      <protection hidden="1"/>
    </xf>
    <xf numFmtId="168" fontId="65" fillId="24" borderId="18" xfId="0" applyNumberFormat="1" applyFont="1" applyFill="1" applyBorder="1" applyAlignment="1" applyProtection="1">
      <alignment horizontal="left" vertical="center"/>
      <protection hidden="1"/>
    </xf>
    <xf numFmtId="168" fontId="65" fillId="24" borderId="12" xfId="0" applyNumberFormat="1" applyFont="1" applyFill="1" applyBorder="1" applyAlignment="1" applyProtection="1">
      <alignment horizontal="left" vertical="center"/>
      <protection hidden="1"/>
    </xf>
    <xf numFmtId="168" fontId="65" fillId="24" borderId="13" xfId="0" applyNumberFormat="1" applyFont="1" applyFill="1" applyBorder="1" applyAlignment="1" applyProtection="1">
      <alignment horizontal="left" vertical="center"/>
      <protection hidden="1"/>
    </xf>
    <xf numFmtId="168" fontId="65" fillId="24" borderId="20" xfId="0" applyNumberFormat="1" applyFont="1" applyFill="1" applyBorder="1" applyAlignment="1" applyProtection="1">
      <alignment horizontal="left" vertical="center"/>
      <protection hidden="1"/>
    </xf>
    <xf numFmtId="44" fontId="1" fillId="14" borderId="16" xfId="0" applyNumberFormat="1" applyFont="1" applyFill="1" applyBorder="1" applyAlignment="1" applyProtection="1">
      <alignment horizontal="center" vertical="center"/>
      <protection hidden="1"/>
    </xf>
    <xf numFmtId="44" fontId="1" fillId="21" borderId="16" xfId="0" applyNumberFormat="1" applyFont="1" applyFill="1" applyBorder="1" applyAlignment="1" applyProtection="1">
      <alignment horizontal="center" vertical="center"/>
      <protection locked="0" hidden="1"/>
    </xf>
    <xf numFmtId="164" fontId="15" fillId="18" borderId="3" xfId="4" applyNumberFormat="1" applyFont="1" applyFill="1" applyBorder="1" applyAlignment="1" applyProtection="1">
      <alignment horizontal="center" vertical="center"/>
      <protection hidden="1"/>
    </xf>
    <xf numFmtId="164" fontId="15" fillId="18" borderId="1" xfId="4" applyNumberFormat="1" applyFont="1" applyFill="1" applyBorder="1" applyAlignment="1" applyProtection="1">
      <alignment horizontal="center" vertical="center"/>
      <protection hidden="1"/>
    </xf>
    <xf numFmtId="164" fontId="15" fillId="18" borderId="2" xfId="4" applyNumberFormat="1" applyFont="1" applyFill="1" applyBorder="1" applyAlignment="1" applyProtection="1">
      <alignment horizontal="center" vertical="center"/>
      <protection hidden="1"/>
    </xf>
    <xf numFmtId="0" fontId="1" fillId="32" borderId="16" xfId="0" quotePrefix="1" applyFont="1" applyFill="1" applyBorder="1" applyAlignment="1" applyProtection="1">
      <alignment horizontal="center" vertical="center"/>
      <protection hidden="1"/>
    </xf>
    <xf numFmtId="0" fontId="1" fillId="32" borderId="16" xfId="0" applyFont="1" applyFill="1" applyBorder="1" applyAlignment="1" applyProtection="1">
      <alignment horizontal="center" vertical="center"/>
      <protection hidden="1"/>
    </xf>
    <xf numFmtId="8" fontId="1" fillId="10" borderId="16" xfId="0" applyNumberFormat="1" applyFont="1" applyFill="1" applyBorder="1" applyAlignment="1" applyProtection="1">
      <alignment horizontal="center" vertical="center"/>
      <protection hidden="1"/>
    </xf>
    <xf numFmtId="164" fontId="2" fillId="11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20" xfId="0" quotePrefix="1" applyNumberFormat="1" applyFont="1" applyFill="1" applyBorder="1" applyAlignment="1" applyProtection="1">
      <alignment horizontal="left" vertical="center"/>
      <protection hidden="1"/>
    </xf>
    <xf numFmtId="44" fontId="30" fillId="18" borderId="16" xfId="3" applyFont="1" applyFill="1" applyBorder="1" applyAlignment="1">
      <alignment horizontal="center"/>
    </xf>
    <xf numFmtId="164" fontId="15" fillId="14" borderId="16" xfId="4" applyNumberFormat="1" applyFont="1" applyFill="1" applyBorder="1" applyAlignment="1" applyProtection="1">
      <alignment horizontal="center" vertical="center"/>
      <protection hidden="1"/>
    </xf>
    <xf numFmtId="0" fontId="1" fillId="34" borderId="25" xfId="0" applyFont="1" applyFill="1" applyBorder="1" applyAlignment="1" applyProtection="1">
      <alignment horizontal="center" vertical="center" wrapText="1"/>
      <protection hidden="1"/>
    </xf>
    <xf numFmtId="0" fontId="1" fillId="34" borderId="18" xfId="0" applyFont="1" applyFill="1" applyBorder="1" applyAlignment="1" applyProtection="1">
      <alignment horizontal="center" vertical="center" wrapText="1"/>
      <protection hidden="1"/>
    </xf>
    <xf numFmtId="0" fontId="1" fillId="34" borderId="12" xfId="0" applyFont="1" applyFill="1" applyBorder="1" applyAlignment="1" applyProtection="1">
      <alignment horizontal="center" vertical="center" wrapText="1"/>
      <protection hidden="1"/>
    </xf>
    <xf numFmtId="0" fontId="1" fillId="34" borderId="19" xfId="0" applyFont="1" applyFill="1" applyBorder="1" applyAlignment="1" applyProtection="1">
      <alignment horizontal="center" vertical="center" wrapText="1"/>
      <protection hidden="1"/>
    </xf>
    <xf numFmtId="0" fontId="1" fillId="34" borderId="13" xfId="0" applyFont="1" applyFill="1" applyBorder="1" applyAlignment="1" applyProtection="1">
      <alignment horizontal="center" vertical="center" wrapText="1"/>
      <protection hidden="1"/>
    </xf>
    <xf numFmtId="0" fontId="1" fillId="34" borderId="20" xfId="0" applyFont="1" applyFill="1" applyBorder="1" applyAlignment="1" applyProtection="1">
      <alignment horizontal="center" vertical="center" wrapText="1"/>
      <protection hidden="1"/>
    </xf>
    <xf numFmtId="164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0" borderId="25" xfId="0" quotePrefix="1" applyNumberFormat="1" applyFont="1" applyBorder="1" applyAlignment="1">
      <alignment horizontal="right" vertical="center"/>
    </xf>
    <xf numFmtId="164" fontId="2" fillId="0" borderId="19" xfId="0" quotePrefix="1" applyNumberFormat="1" applyFont="1" applyBorder="1" applyAlignment="1">
      <alignment horizontal="right" vertical="center"/>
    </xf>
    <xf numFmtId="164" fontId="2" fillId="14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20" xfId="0" quotePrefix="1" applyNumberFormat="1" applyFont="1" applyFill="1" applyBorder="1" applyAlignment="1" applyProtection="1">
      <alignment horizontal="left" vertical="center"/>
      <protection hidden="1"/>
    </xf>
    <xf numFmtId="8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44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0" fontId="23" fillId="0" borderId="4" xfId="0" applyFont="1" applyBorder="1" applyAlignment="1">
      <alignment horizontal="center"/>
    </xf>
    <xf numFmtId="0" fontId="1" fillId="34" borderId="25" xfId="0" applyFont="1" applyFill="1" applyBorder="1" applyAlignment="1" applyProtection="1">
      <alignment horizontal="center" vertical="center"/>
      <protection hidden="1"/>
    </xf>
    <xf numFmtId="0" fontId="1" fillId="34" borderId="18" xfId="0" applyFont="1" applyFill="1" applyBorder="1" applyAlignment="1" applyProtection="1">
      <alignment horizontal="center" vertical="center"/>
      <protection hidden="1"/>
    </xf>
    <xf numFmtId="0" fontId="1" fillId="34" borderId="12" xfId="0" applyFont="1" applyFill="1" applyBorder="1" applyAlignment="1" applyProtection="1">
      <alignment horizontal="center" vertical="center"/>
      <protection hidden="1"/>
    </xf>
    <xf numFmtId="0" fontId="1" fillId="34" borderId="19" xfId="0" applyFont="1" applyFill="1" applyBorder="1" applyAlignment="1" applyProtection="1">
      <alignment horizontal="center" vertical="center"/>
      <protection hidden="1"/>
    </xf>
    <xf numFmtId="0" fontId="1" fillId="34" borderId="13" xfId="0" applyFont="1" applyFill="1" applyBorder="1" applyAlignment="1" applyProtection="1">
      <alignment horizontal="center" vertical="center"/>
      <protection hidden="1"/>
    </xf>
    <xf numFmtId="0" fontId="1" fillId="34" borderId="20" xfId="0" applyFont="1" applyFill="1" applyBorder="1" applyAlignment="1" applyProtection="1">
      <alignment horizontal="center" vertical="center"/>
      <protection hidden="1"/>
    </xf>
    <xf numFmtId="164" fontId="15" fillId="21" borderId="25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8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2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9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3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20" xfId="4" applyNumberFormat="1" applyFont="1" applyFill="1" applyBorder="1" applyAlignment="1" applyProtection="1">
      <alignment horizontal="center" vertical="center"/>
      <protection locked="0" hidden="1"/>
    </xf>
    <xf numFmtId="0" fontId="52" fillId="10" borderId="16" xfId="0" applyFont="1" applyFill="1" applyBorder="1" applyAlignment="1" applyProtection="1">
      <alignment horizontal="center" vertical="center" wrapText="1"/>
      <protection hidden="1"/>
    </xf>
    <xf numFmtId="174" fontId="0" fillId="0" borderId="0" xfId="0" applyNumberFormat="1" applyAlignment="1">
      <alignment horizontal="center"/>
    </xf>
    <xf numFmtId="44" fontId="0" fillId="0" borderId="0" xfId="3" applyFont="1" applyAlignment="1">
      <alignment horizontal="center"/>
    </xf>
    <xf numFmtId="164" fontId="52" fillId="10" borderId="16" xfId="0" applyNumberFormat="1" applyFont="1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>
      <alignment horizontal="center"/>
    </xf>
    <xf numFmtId="0" fontId="0" fillId="23" borderId="11" xfId="0" applyFill="1" applyBorder="1" applyAlignment="1" applyProtection="1">
      <alignment horizontal="center" vertical="center"/>
      <protection hidden="1"/>
    </xf>
    <xf numFmtId="0" fontId="0" fillId="35" borderId="28" xfId="0" applyFill="1" applyBorder="1" applyAlignment="1" applyProtection="1">
      <alignment horizontal="center"/>
      <protection hidden="1"/>
    </xf>
    <xf numFmtId="0" fontId="0" fillId="35" borderId="29" xfId="0" applyFill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left"/>
      <protection hidden="1"/>
    </xf>
    <xf numFmtId="0" fontId="2" fillId="14" borderId="16" xfId="0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36" borderId="11" xfId="0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>
      <alignment horizontal="center"/>
    </xf>
    <xf numFmtId="164" fontId="15" fillId="19" borderId="3" xfId="4" applyNumberFormat="1" applyFont="1" applyFill="1" applyBorder="1" applyAlignment="1" applyProtection="1">
      <alignment horizontal="center" vertical="center"/>
      <protection hidden="1"/>
    </xf>
    <xf numFmtId="164" fontId="15" fillId="19" borderId="1" xfId="4" applyNumberFormat="1" applyFont="1" applyFill="1" applyBorder="1" applyAlignment="1" applyProtection="1">
      <alignment horizontal="center" vertical="center"/>
      <protection hidden="1"/>
    </xf>
    <xf numFmtId="164" fontId="15" fillId="19" borderId="2" xfId="4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2" fillId="14" borderId="16" xfId="3" applyFont="1" applyFill="1" applyBorder="1" applyAlignment="1">
      <alignment horizontal="center"/>
    </xf>
    <xf numFmtId="44" fontId="30" fillId="14" borderId="16" xfId="3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37" borderId="0" xfId="0" quotePrefix="1" applyFont="1" applyFill="1" applyAlignment="1">
      <alignment horizontal="center"/>
    </xf>
    <xf numFmtId="0" fontId="0" fillId="37" borderId="0" xfId="0" applyFill="1" applyAlignment="1">
      <alignment horizontal="center"/>
    </xf>
    <xf numFmtId="0" fontId="52" fillId="10" borderId="16" xfId="4" applyFont="1" applyFill="1" applyBorder="1" applyAlignment="1" applyProtection="1">
      <alignment horizontal="center" vertical="center"/>
      <protection hidden="1"/>
    </xf>
    <xf numFmtId="164" fontId="2" fillId="14" borderId="16" xfId="0" applyNumberFormat="1" applyFont="1" applyFill="1" applyBorder="1" applyAlignment="1" applyProtection="1">
      <alignment horizontal="center" vertical="center"/>
      <protection hidden="1"/>
    </xf>
    <xf numFmtId="0" fontId="1" fillId="33" borderId="3" xfId="0" quotePrefix="1" applyFont="1" applyFill="1" applyBorder="1" applyAlignment="1" applyProtection="1">
      <alignment horizontal="center" vertical="center"/>
      <protection hidden="1"/>
    </xf>
    <xf numFmtId="0" fontId="1" fillId="33" borderId="1" xfId="0" quotePrefix="1" applyFont="1" applyFill="1" applyBorder="1" applyAlignment="1" applyProtection="1">
      <alignment horizontal="center" vertical="center"/>
      <protection hidden="1"/>
    </xf>
    <xf numFmtId="0" fontId="1" fillId="33" borderId="2" xfId="0" quotePrefix="1" applyFont="1" applyFill="1" applyBorder="1" applyAlignment="1" applyProtection="1">
      <alignment horizontal="center" vertical="center"/>
      <protection hidden="1"/>
    </xf>
    <xf numFmtId="8" fontId="1" fillId="10" borderId="3" xfId="0" applyNumberFormat="1" applyFont="1" applyFill="1" applyBorder="1" applyAlignment="1" applyProtection="1">
      <alignment horizontal="center" vertical="center"/>
      <protection hidden="1"/>
    </xf>
    <xf numFmtId="8" fontId="1" fillId="10" borderId="1" xfId="0" applyNumberFormat="1" applyFont="1" applyFill="1" applyBorder="1" applyAlignment="1" applyProtection="1">
      <alignment horizontal="center" vertical="center"/>
      <protection hidden="1"/>
    </xf>
    <xf numFmtId="8" fontId="1" fillId="10" borderId="2" xfId="0" applyNumberFormat="1" applyFont="1" applyFill="1" applyBorder="1" applyAlignment="1" applyProtection="1">
      <alignment horizontal="center" vertical="center"/>
      <protection hidden="1"/>
    </xf>
    <xf numFmtId="0" fontId="1" fillId="18" borderId="3" xfId="0" applyFont="1" applyFill="1" applyBorder="1" applyAlignment="1" applyProtection="1">
      <alignment horizontal="center" vertical="center"/>
      <protection hidden="1"/>
    </xf>
    <xf numFmtId="0" fontId="1" fillId="18" borderId="1" xfId="0" applyFont="1" applyFill="1" applyBorder="1" applyAlignment="1" applyProtection="1">
      <alignment horizontal="center" vertical="center"/>
      <protection hidden="1"/>
    </xf>
    <xf numFmtId="164" fontId="2" fillId="21" borderId="25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8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2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9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3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20" xfId="0" applyNumberFormat="1" applyFont="1" applyFill="1" applyBorder="1" applyAlignment="1" applyProtection="1">
      <alignment horizontal="center" vertical="center"/>
      <protection locked="0" hidden="1"/>
    </xf>
  </cellXfs>
  <cellStyles count="9">
    <cellStyle name="Euro 4" xfId="1" xr:uid="{F081574E-FE25-40EB-891B-F252BD45FCC4}"/>
    <cellStyle name="Lien hypertexte" xfId="2" builtinId="8"/>
    <cellStyle name="Monétaire" xfId="3" builtinId="4"/>
    <cellStyle name="Normal" xfId="0" builtinId="0"/>
    <cellStyle name="Normal 2" xfId="4" xr:uid="{C17EBFEF-6BC9-4BBC-BE93-BCC973C59BC7}"/>
    <cellStyle name="Normal 2 2" xfId="5" xr:uid="{C6DF5F88-01EF-42AF-8ABD-553B54BD7242}"/>
    <cellStyle name="Normal 3" xfId="6" xr:uid="{C7F4C85E-977C-4934-A8B6-1BCF206C5652}"/>
    <cellStyle name="Pourcentage" xfId="7" builtinId="5"/>
    <cellStyle name="Pourcentage 2" xfId="8" xr:uid="{ADD08D5A-972A-4A7E-8DEA-3B9FBD4842DD}"/>
  </cellStyles>
  <dxfs count="12"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  <color rgb="FFFFFFF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ources!$Z$34" lockText="1"/>
</file>

<file path=xl/ctrlProps/ctrlProp2.xml><?xml version="1.0" encoding="utf-8"?>
<formControlPr xmlns="http://schemas.microsoft.com/office/spreadsheetml/2009/9/main" objectType="CheckBox" fmlaLink="Sources!$Z$34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7DB44E9B-2F9C-DAAC-EDAA-7CCCC8D6CC57}"/>
            </a:ext>
          </a:extLst>
        </xdr:cNvPr>
        <xdr:cNvSpPr txBox="1"/>
      </xdr:nvSpPr>
      <xdr:spPr>
        <a:xfrm>
          <a:off x="9373856" y="98180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38100</xdr:colOff>
          <xdr:row>76</xdr:row>
          <xdr:rowOff>142875</xdr:rowOff>
        </xdr:to>
        <xdr:sp macro="" textlink="">
          <xdr:nvSpPr>
            <xdr:cNvPr id="5250" name="Check Box 2178" descr="Ce montant est majoré de 40 % si votre employeur élève seul(e) son ou ses enfants.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40</xdr:col>
      <xdr:colOff>256965</xdr:colOff>
      <xdr:row>0</xdr:row>
      <xdr:rowOff>361950</xdr:rowOff>
    </xdr:from>
    <xdr:to>
      <xdr:col>43</xdr:col>
      <xdr:colOff>271515</xdr:colOff>
      <xdr:row>7</xdr:row>
      <xdr:rowOff>19050</xdr:rowOff>
    </xdr:to>
    <xdr:pic>
      <xdr:nvPicPr>
        <xdr:cNvPr id="8318" name="Image 4">
          <a:extLst>
            <a:ext uri="{FF2B5EF4-FFF2-40B4-BE49-F238E27FC236}">
              <a16:creationId xmlns:a16="http://schemas.microsoft.com/office/drawing/2014/main" id="{A7ADB6B4-6A95-B81D-3145-EE43C5B4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619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54</xdr:col>
      <xdr:colOff>0</xdr:colOff>
      <xdr:row>7</xdr:row>
      <xdr:rowOff>76200</xdr:rowOff>
    </xdr:to>
    <xdr:pic>
      <xdr:nvPicPr>
        <xdr:cNvPr id="8319" name="Image 1">
          <a:extLst>
            <a:ext uri="{FF2B5EF4-FFF2-40B4-BE49-F238E27FC236}">
              <a16:creationId xmlns:a16="http://schemas.microsoft.com/office/drawing/2014/main" id="{45AC2D9F-63B7-E2EA-006D-154F327F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251208</xdr:colOff>
      <xdr:row>44</xdr:row>
      <xdr:rowOff>94204</xdr:rowOff>
    </xdr:from>
    <xdr:to>
      <xdr:col>54</xdr:col>
      <xdr:colOff>52336</xdr:colOff>
      <xdr:row>47</xdr:row>
      <xdr:rowOff>41868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4911CAD-6100-DD4D-B8AC-92768B3FD8AF}"/>
            </a:ext>
          </a:extLst>
        </xdr:cNvPr>
        <xdr:cNvGrpSpPr/>
      </xdr:nvGrpSpPr>
      <xdr:grpSpPr>
        <a:xfrm>
          <a:off x="13471071" y="6238352"/>
          <a:ext cx="376814" cy="376813"/>
          <a:chOff x="13439670" y="6238352"/>
          <a:chExt cx="376814" cy="376813"/>
        </a:xfrm>
      </xdr:grpSpPr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D9E-B381-7C44-9EAF-343858D7231E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2112A167-AB7C-30D9-53A1-41C2AA1AEA82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" name="Connecteur droit avec flèche 23">
            <a:extLst>
              <a:ext uri="{FF2B5EF4-FFF2-40B4-BE49-F238E27FC236}">
                <a16:creationId xmlns:a16="http://schemas.microsoft.com/office/drawing/2014/main" id="{CE89117D-613A-70A3-5C46-4B8149077F15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23</xdr:col>
      <xdr:colOff>177939</xdr:colOff>
      <xdr:row>52</xdr:row>
      <xdr:rowOff>450082</xdr:rowOff>
    </xdr:from>
    <xdr:to>
      <xdr:col>23</xdr:col>
      <xdr:colOff>188406</xdr:colOff>
      <xdr:row>54</xdr:row>
      <xdr:rowOff>125605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ED509622-E3BE-24FA-38A9-BCDEDF85B4C0}"/>
            </a:ext>
          </a:extLst>
        </xdr:cNvPr>
        <xdr:cNvCxnSpPr/>
      </xdr:nvCxnSpPr>
      <xdr:spPr bwMode="auto">
        <a:xfrm flipH="1">
          <a:off x="5474258" y="7745604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BD1B100-F840-72CF-164B-3244DD8BE663}"/>
            </a:ext>
          </a:extLst>
        </xdr:cNvPr>
        <xdr:cNvCxnSpPr/>
      </xdr:nvCxnSpPr>
      <xdr:spPr bwMode="auto">
        <a:xfrm flipV="1">
          <a:off x="8132885" y="8520165"/>
          <a:ext cx="10467" cy="125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8F62B4-D0F6-8C55-E30A-FCB3DBB5CE0E}"/>
            </a:ext>
          </a:extLst>
        </xdr:cNvPr>
        <xdr:cNvSpPr txBox="1"/>
      </xdr:nvSpPr>
      <xdr:spPr>
        <a:xfrm>
          <a:off x="9562263" y="9849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0</xdr:colOff>
          <xdr:row>76</xdr:row>
          <xdr:rowOff>142875</xdr:rowOff>
        </xdr:to>
        <xdr:sp macro="" textlink="">
          <xdr:nvSpPr>
            <xdr:cNvPr id="6145" name="Check Box 1" descr="Ce montant est majoré de 40 % si votre employeur élève seul(e) son ou ses enfants.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47</xdr:col>
      <xdr:colOff>73374</xdr:colOff>
      <xdr:row>0</xdr:row>
      <xdr:rowOff>390525</xdr:rowOff>
    </xdr:from>
    <xdr:to>
      <xdr:col>50</xdr:col>
      <xdr:colOff>140048</xdr:colOff>
      <xdr:row>7</xdr:row>
      <xdr:rowOff>28575</xdr:rowOff>
    </xdr:to>
    <xdr:pic>
      <xdr:nvPicPr>
        <xdr:cNvPr id="6617" name="Image 4">
          <a:extLst>
            <a:ext uri="{FF2B5EF4-FFF2-40B4-BE49-F238E27FC236}">
              <a16:creationId xmlns:a16="http://schemas.microsoft.com/office/drawing/2014/main" id="{0F138D88-3376-42D9-1508-7E046CF5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390525"/>
          <a:ext cx="866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53</xdr:col>
      <xdr:colOff>200025</xdr:colOff>
      <xdr:row>7</xdr:row>
      <xdr:rowOff>47625</xdr:rowOff>
    </xdr:to>
    <xdr:pic>
      <xdr:nvPicPr>
        <xdr:cNvPr id="6618" name="Image 1">
          <a:extLst>
            <a:ext uri="{FF2B5EF4-FFF2-40B4-BE49-F238E27FC236}">
              <a16:creationId xmlns:a16="http://schemas.microsoft.com/office/drawing/2014/main" id="{A7A69C63-4321-9EE0-A2C2-21188DE0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A996CF8-F5C6-2727-D56B-449BF7847770}"/>
            </a:ext>
          </a:extLst>
        </xdr:cNvPr>
        <xdr:cNvSpPr txBox="1"/>
      </xdr:nvSpPr>
      <xdr:spPr>
        <a:xfrm>
          <a:off x="929640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23</xdr:col>
      <xdr:colOff>146539</xdr:colOff>
      <xdr:row>52</xdr:row>
      <xdr:rowOff>366346</xdr:rowOff>
    </xdr:from>
    <xdr:to>
      <xdr:col>23</xdr:col>
      <xdr:colOff>157006</xdr:colOff>
      <xdr:row>54</xdr:row>
      <xdr:rowOff>62803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A3A3D12-FDA9-4479-AD47-716303640359}"/>
            </a:ext>
          </a:extLst>
        </xdr:cNvPr>
        <xdr:cNvCxnSpPr/>
      </xdr:nvCxnSpPr>
      <xdr:spPr bwMode="auto">
        <a:xfrm flipH="1">
          <a:off x="5631264" y="7672335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52</xdr:col>
      <xdr:colOff>366346</xdr:colOff>
      <xdr:row>44</xdr:row>
      <xdr:rowOff>94203</xdr:rowOff>
    </xdr:from>
    <xdr:to>
      <xdr:col>54</xdr:col>
      <xdr:colOff>52336</xdr:colOff>
      <xdr:row>47</xdr:row>
      <xdr:rowOff>41867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62A16A20-EC4C-4B8F-8FB3-F2A283CD8E83}"/>
            </a:ext>
          </a:extLst>
        </xdr:cNvPr>
        <xdr:cNvGrpSpPr/>
      </xdr:nvGrpSpPr>
      <xdr:grpSpPr>
        <a:xfrm>
          <a:off x="13764148" y="6269752"/>
          <a:ext cx="376814" cy="376813"/>
          <a:chOff x="13439670" y="6238352"/>
          <a:chExt cx="376814" cy="376813"/>
        </a:xfrm>
      </xdr:grpSpPr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540DD72A-B6C9-D2D0-2F9D-99B4A2026F28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6372826D-5CAF-82C1-7AB2-71C430FD2034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" name="Connecteur droit avec flèche 11">
            <a:extLst>
              <a:ext uri="{FF2B5EF4-FFF2-40B4-BE49-F238E27FC236}">
                <a16:creationId xmlns:a16="http://schemas.microsoft.com/office/drawing/2014/main" id="{C8218DB1-EAC2-5EFB-8E93-D5AD5D818202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27F6E184-5DA2-4A0F-A946-3106953CB54D}"/>
            </a:ext>
          </a:extLst>
        </xdr:cNvPr>
        <xdr:cNvCxnSpPr/>
      </xdr:nvCxnSpPr>
      <xdr:spPr bwMode="auto">
        <a:xfrm flipV="1">
          <a:off x="8062756" y="8526550"/>
          <a:ext cx="10467" cy="12497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2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f.fr/aides-et-services/s-informer-sur-les-aides/petite-enfance/le-complement-de-libre-choix-du-mode-de-garde" TargetMode="External"/><Relationship Id="rId2" Type="http://schemas.openxmlformats.org/officeDocument/2006/relationships/hyperlink" Target="http://www.ameli.fr/employeurs/vos-demarches/chiffres-utiles/plafond-de-la-securite-sociale.php" TargetMode="External"/><Relationship Id="rId1" Type="http://schemas.openxmlformats.org/officeDocument/2006/relationships/hyperlink" Target="https://www.insee.fr/fr/statistiques/1375188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efl.fr/chiffres-taux/social/salaire/taux_cot.html" TargetMode="External"/><Relationship Id="rId4" Type="http://schemas.openxmlformats.org/officeDocument/2006/relationships/hyperlink" Target="http://www.pajemploi.urssaf.fr/pajewebinfo/cms/sites/pajewebinfo/accueil/employeur-dassistante-maternelle/je-minforme/le-cout-de-la-gar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A005-0882-4E48-AD29-CA977A3622E3}">
  <sheetPr codeName="Feuil1">
    <pageSetUpPr fitToPage="1"/>
  </sheetPr>
  <dimension ref="A1:BZ87"/>
  <sheetViews>
    <sheetView showGridLines="0" tabSelected="1" zoomScale="91" zoomScaleNormal="91" zoomScaleSheetLayoutView="91" zoomScalePageLayoutView="93" workbookViewId="0">
      <selection activeCell="J3" sqref="J3:AO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0.42578125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4.42578125" style="7" customWidth="1"/>
    <col min="18" max="19" width="3.7109375" style="7" customWidth="1"/>
    <col min="20" max="20" width="0.42578125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9" width="3.7109375" style="1" customWidth="1"/>
    <col min="40" max="40" width="4.7109375" style="1" customWidth="1"/>
    <col min="41" max="41" width="3.8554687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3" width="4" style="1" customWidth="1"/>
    <col min="54" max="54" width="4.7109375" style="1" customWidth="1"/>
    <col min="55" max="55" width="8" style="1" customWidth="1"/>
    <col min="56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25" t="s">
        <v>138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25"/>
      <c r="AP1" s="525"/>
      <c r="AQ1" s="525"/>
      <c r="AR1" s="525"/>
      <c r="AS1" s="525"/>
      <c r="AT1" s="525"/>
      <c r="AU1" s="526">
        <f>Sources!C3</f>
        <v>2026</v>
      </c>
      <c r="AV1" s="526"/>
      <c r="AW1" s="526"/>
      <c r="AX1" s="526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24" t="s">
        <v>97</v>
      </c>
      <c r="C3" s="524"/>
      <c r="D3" s="524"/>
      <c r="E3" s="524"/>
      <c r="F3" s="524"/>
      <c r="G3" s="524"/>
      <c r="H3" s="524"/>
      <c r="I3" s="524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2"/>
      <c r="AO3" s="532"/>
      <c r="AP3"/>
      <c r="AQ3"/>
      <c r="AR3"/>
      <c r="AS3"/>
      <c r="AT3"/>
      <c r="AU3"/>
      <c r="AV3"/>
      <c r="AW3"/>
      <c r="AX3"/>
      <c r="AY3"/>
      <c r="AZ3"/>
      <c r="BA3"/>
      <c r="BC3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C4"/>
      <c r="BD4"/>
      <c r="BE4"/>
      <c r="BF4"/>
      <c r="BG4"/>
      <c r="BH4"/>
      <c r="BI4"/>
      <c r="BJ4"/>
      <c r="BK4"/>
      <c r="BL4"/>
    </row>
    <row r="5" spans="1:78" ht="9.75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38" t="s">
        <v>30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6" t="s">
        <v>29</v>
      </c>
      <c r="S6" s="537"/>
      <c r="U6" s="2" t="s">
        <v>0</v>
      </c>
      <c r="V6" s="3"/>
      <c r="X6" s="8"/>
      <c r="Y6" s="1"/>
      <c r="Z6" s="34"/>
      <c r="AA6" s="8"/>
      <c r="AB6" s="4"/>
      <c r="AC6" s="513"/>
      <c r="AD6" s="514"/>
      <c r="AF6"/>
      <c r="AG6"/>
      <c r="AH6"/>
      <c r="AI6"/>
      <c r="AJ6"/>
      <c r="AK6"/>
      <c r="AL6"/>
      <c r="AM6"/>
      <c r="AN6"/>
      <c r="AO6"/>
      <c r="AP6"/>
      <c r="BC6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28" t="s">
        <v>134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6">
        <v>0.25</v>
      </c>
      <c r="S8" s="327"/>
      <c r="U8" s="2" t="s">
        <v>9</v>
      </c>
      <c r="W8" s="1"/>
      <c r="X8" s="9"/>
      <c r="Y8" s="1"/>
      <c r="Z8" s="9"/>
      <c r="AA8" s="9"/>
      <c r="AB8" s="9"/>
      <c r="AC8" s="518">
        <f>IF($R$6="oui",$AC$6*Sources!$Q$23,$AC$6*Sources!$Q$23)</f>
        <v>0</v>
      </c>
      <c r="AD8" s="519"/>
      <c r="AE8" s="533" t="s">
        <v>132</v>
      </c>
      <c r="AF8" s="534"/>
      <c r="AG8" s="534"/>
      <c r="AH8" s="534"/>
      <c r="AI8" s="534"/>
      <c r="AJ8" s="534"/>
      <c r="AK8" s="534"/>
      <c r="AL8" s="534"/>
      <c r="AM8" s="534"/>
      <c r="AN8" s="292">
        <f>(AC6/Sources!R26)</f>
        <v>0</v>
      </c>
      <c r="AO8" s="293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24" t="s">
        <v>46</v>
      </c>
      <c r="C10" s="524"/>
      <c r="D10" s="524"/>
      <c r="E10" s="524"/>
      <c r="F10" s="524"/>
      <c r="G10" s="524"/>
      <c r="H10" s="524"/>
      <c r="I10" s="524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23" t="s">
        <v>47</v>
      </c>
      <c r="AA10" s="523"/>
      <c r="AB10" s="523"/>
      <c r="AC10" s="523"/>
      <c r="AD10" s="523"/>
      <c r="AE10" s="539"/>
      <c r="AF10" s="539"/>
      <c r="AG10" s="539"/>
      <c r="AH10" s="539"/>
      <c r="AI10" s="539"/>
      <c r="AJ10" s="539"/>
      <c r="AP10" s="535" t="str">
        <f ca="1">IF(Sources!N14="-3","Votre enfant à moins de 3 ans","Votre enfant à plus de 3 ans")</f>
        <v>Votre enfant à plus de 3 ans</v>
      </c>
      <c r="AQ10" s="535"/>
      <c r="AR10" s="535"/>
      <c r="AS10" s="535"/>
      <c r="AT10" s="535"/>
      <c r="AU10" s="535"/>
      <c r="AV10" s="535"/>
      <c r="AW10" s="535"/>
      <c r="AX10" s="535"/>
      <c r="AY10" s="535"/>
      <c r="AZ10" s="535"/>
      <c r="BA10" s="535"/>
      <c r="BB10" s="535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294" t="s">
        <v>24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195" t="s">
        <v>38</v>
      </c>
      <c r="AD12" s="196"/>
      <c r="AE12" s="299" t="s">
        <v>26</v>
      </c>
      <c r="AF12" s="299"/>
      <c r="AG12" s="299"/>
      <c r="AH12" s="520" t="s">
        <v>141</v>
      </c>
      <c r="AI12" s="302" t="s">
        <v>25</v>
      </c>
      <c r="AJ12" s="302"/>
      <c r="AK12" s="302"/>
      <c r="AL12" s="302" t="s">
        <v>27</v>
      </c>
      <c r="AM12" s="302"/>
      <c r="AN12" s="302"/>
      <c r="AO12" s="5"/>
      <c r="AP12" s="294" t="s">
        <v>137</v>
      </c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197"/>
      <c r="AD13" s="198"/>
      <c r="AE13" s="299"/>
      <c r="AF13" s="299"/>
      <c r="AG13" s="299"/>
      <c r="AH13" s="521"/>
      <c r="AI13" s="302"/>
      <c r="AJ13" s="302"/>
      <c r="AK13" s="302"/>
      <c r="AL13" s="302"/>
      <c r="AM13" s="302"/>
      <c r="AN13" s="302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20" t="s">
        <v>1</v>
      </c>
      <c r="I14" s="321"/>
      <c r="J14" s="322"/>
      <c r="K14" s="320" t="s">
        <v>2</v>
      </c>
      <c r="L14" s="321"/>
      <c r="M14" s="322"/>
      <c r="N14" s="320" t="s">
        <v>3</v>
      </c>
      <c r="O14" s="321"/>
      <c r="P14" s="322"/>
      <c r="Q14" s="320" t="s">
        <v>4</v>
      </c>
      <c r="R14" s="321"/>
      <c r="S14" s="322"/>
      <c r="T14" s="320" t="s">
        <v>5</v>
      </c>
      <c r="U14" s="321"/>
      <c r="V14" s="322"/>
      <c r="W14" s="320" t="s">
        <v>6</v>
      </c>
      <c r="X14" s="321"/>
      <c r="Y14" s="322"/>
      <c r="Z14" s="320" t="s">
        <v>7</v>
      </c>
      <c r="AA14" s="321"/>
      <c r="AB14" s="321"/>
      <c r="AC14" s="199"/>
      <c r="AD14" s="200"/>
      <c r="AE14" s="299"/>
      <c r="AF14" s="299"/>
      <c r="AG14" s="299"/>
      <c r="AH14" s="522"/>
      <c r="AI14" s="302"/>
      <c r="AJ14" s="302"/>
      <c r="AK14" s="302"/>
      <c r="AL14" s="302"/>
      <c r="AM14" s="302"/>
      <c r="AN14" s="302"/>
      <c r="AP14" s="527" t="s">
        <v>142</v>
      </c>
      <c r="AQ14" s="527"/>
      <c r="AR14" s="527"/>
      <c r="AS14" s="527"/>
      <c r="AT14" s="527"/>
      <c r="AU14" s="527"/>
      <c r="AV14" s="527"/>
      <c r="AW14" s="295">
        <v>52</v>
      </c>
      <c r="AX14" s="295"/>
      <c r="AY14" s="295"/>
      <c r="AZ14" s="295"/>
      <c r="BA14" s="295"/>
      <c r="BB14" s="295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40" t="s">
        <v>51</v>
      </c>
      <c r="C15" s="541"/>
      <c r="D15" s="541"/>
      <c r="E15" s="541"/>
      <c r="F15" s="541"/>
      <c r="G15" s="68">
        <f>IF(AC15=0,0,COUNT(H15:AB15)/AC15)</f>
        <v>0</v>
      </c>
      <c r="H15" s="323"/>
      <c r="I15" s="324"/>
      <c r="J15" s="325"/>
      <c r="K15" s="323"/>
      <c r="L15" s="324"/>
      <c r="M15" s="325"/>
      <c r="N15" s="323"/>
      <c r="O15" s="324"/>
      <c r="P15" s="325"/>
      <c r="Q15" s="323"/>
      <c r="R15" s="324"/>
      <c r="S15" s="325"/>
      <c r="T15" s="323"/>
      <c r="U15" s="324"/>
      <c r="V15" s="325"/>
      <c r="W15" s="384"/>
      <c r="X15" s="385"/>
      <c r="Y15" s="386"/>
      <c r="Z15" s="384"/>
      <c r="AA15" s="385"/>
      <c r="AB15" s="386"/>
      <c r="AC15" s="357">
        <f>IF(ISBLANK(H15),0,1)+IF(ISBLANK(K15),0,1)+IF(ISBLANK(N15),0,1)+IF(ISBLANK(Q15),0,1)+IF(ISBLANK(T15),0,1)+IF(ISBLANK(W15),0,1)+IF(ISBLANK(Z15),0,1)</f>
        <v>0</v>
      </c>
      <c r="AD15" s="358"/>
      <c r="AE15" s="296">
        <f>SUM(H15:AB15)</f>
        <v>0</v>
      </c>
      <c r="AF15" s="297"/>
      <c r="AG15" s="298"/>
      <c r="AH15" s="180"/>
      <c r="AI15" s="296">
        <f>IF(AE15&gt;45,45,AE15)</f>
        <v>0</v>
      </c>
      <c r="AJ15" s="297"/>
      <c r="AK15" s="298"/>
      <c r="AL15" s="515">
        <f>AE15-AI15</f>
        <v>0</v>
      </c>
      <c r="AM15" s="516"/>
      <c r="AN15" s="517"/>
      <c r="AP15" s="527"/>
      <c r="AQ15" s="527"/>
      <c r="AR15" s="527"/>
      <c r="AS15" s="527"/>
      <c r="AT15" s="527"/>
      <c r="AU15" s="527"/>
      <c r="AV15" s="527"/>
      <c r="AW15" s="295"/>
      <c r="AX15" s="295"/>
      <c r="AY15" s="295"/>
      <c r="AZ15" s="295"/>
      <c r="BA15" s="295"/>
      <c r="BB15" s="29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29" t="s">
        <v>52</v>
      </c>
      <c r="C16" s="330"/>
      <c r="D16" s="330"/>
      <c r="E16" s="330"/>
      <c r="F16" s="330"/>
      <c r="G16" s="341">
        <f>IF(AC16=0,0,COUNT(H16:AB17)/AC16)</f>
        <v>0</v>
      </c>
      <c r="H16" s="333"/>
      <c r="I16" s="334"/>
      <c r="J16" s="335"/>
      <c r="K16" s="333"/>
      <c r="L16" s="334"/>
      <c r="M16" s="335"/>
      <c r="N16" s="333"/>
      <c r="O16" s="334"/>
      <c r="P16" s="335"/>
      <c r="Q16" s="333"/>
      <c r="R16" s="334"/>
      <c r="S16" s="335"/>
      <c r="T16" s="333"/>
      <c r="U16" s="334"/>
      <c r="V16" s="335"/>
      <c r="W16" s="312"/>
      <c r="X16" s="390"/>
      <c r="Y16" s="391"/>
      <c r="Z16" s="312"/>
      <c r="AA16" s="390"/>
      <c r="AB16" s="391"/>
      <c r="AC16" s="357">
        <f>IF(ISBLANK(H16),0,1)+IF(ISBLANK(K16),0,1)+IF(ISBLANK(N16),0,1)+IF(ISBLANK(Q16),0,1)+IF(ISBLANK(T16),0,1)+IF(ISBLANK(W16),0,1)+IF(ISBLANK(Z16),0,1)</f>
        <v>0</v>
      </c>
      <c r="AD16" s="358"/>
      <c r="AE16" s="305">
        <f>SUM(H16:AB17)</f>
        <v>0</v>
      </c>
      <c r="AF16" s="306"/>
      <c r="AG16" s="307"/>
      <c r="AH16" s="312"/>
      <c r="AI16" s="305">
        <f>IF(AE16&gt;45,45,AE16)</f>
        <v>0</v>
      </c>
      <c r="AJ16" s="306"/>
      <c r="AK16" s="307"/>
      <c r="AL16" s="314">
        <f>AE16-AI16</f>
        <v>0</v>
      </c>
      <c r="AM16" s="315"/>
      <c r="AN16" s="316"/>
      <c r="AP16" s="527"/>
      <c r="AQ16" s="527"/>
      <c r="AR16" s="527"/>
      <c r="AS16" s="527"/>
      <c r="AT16" s="527"/>
      <c r="AU16" s="527"/>
      <c r="AV16" s="527"/>
      <c r="AW16" s="295"/>
      <c r="AX16" s="295"/>
      <c r="AY16" s="295"/>
      <c r="AZ16" s="295"/>
      <c r="BA16" s="295"/>
      <c r="BB16" s="295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31"/>
      <c r="C17" s="332"/>
      <c r="D17" s="332"/>
      <c r="E17" s="332"/>
      <c r="F17" s="332"/>
      <c r="G17" s="342"/>
      <c r="H17" s="336"/>
      <c r="I17" s="337"/>
      <c r="J17" s="338"/>
      <c r="K17" s="336"/>
      <c r="L17" s="337"/>
      <c r="M17" s="338"/>
      <c r="N17" s="336"/>
      <c r="O17" s="337"/>
      <c r="P17" s="338"/>
      <c r="Q17" s="336"/>
      <c r="R17" s="337"/>
      <c r="S17" s="338"/>
      <c r="T17" s="336"/>
      <c r="U17" s="337"/>
      <c r="V17" s="338"/>
      <c r="W17" s="313"/>
      <c r="X17" s="392"/>
      <c r="Y17" s="393"/>
      <c r="Z17" s="313"/>
      <c r="AA17" s="392"/>
      <c r="AB17" s="393"/>
      <c r="AC17" s="387"/>
      <c r="AD17" s="388"/>
      <c r="AE17" s="308"/>
      <c r="AF17" s="309"/>
      <c r="AG17" s="310"/>
      <c r="AH17" s="313"/>
      <c r="AI17" s="308"/>
      <c r="AJ17" s="309"/>
      <c r="AK17" s="310"/>
      <c r="AL17" s="317"/>
      <c r="AM17" s="318"/>
      <c r="AN17" s="319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29" t="s">
        <v>53</v>
      </c>
      <c r="C18" s="330"/>
      <c r="D18" s="330"/>
      <c r="E18" s="330"/>
      <c r="F18" s="330"/>
      <c r="G18" s="341">
        <f>IF(AC18=0,0,COUNT(H18:AB19)/AC18)</f>
        <v>0</v>
      </c>
      <c r="H18" s="333"/>
      <c r="I18" s="334"/>
      <c r="J18" s="335"/>
      <c r="K18" s="333"/>
      <c r="L18" s="334"/>
      <c r="M18" s="335"/>
      <c r="N18" s="333"/>
      <c r="O18" s="334"/>
      <c r="P18" s="335"/>
      <c r="Q18" s="333"/>
      <c r="R18" s="334"/>
      <c r="S18" s="335"/>
      <c r="T18" s="333"/>
      <c r="U18" s="334"/>
      <c r="V18" s="335"/>
      <c r="W18" s="312"/>
      <c r="X18" s="390"/>
      <c r="Y18" s="391"/>
      <c r="Z18" s="312"/>
      <c r="AA18" s="390"/>
      <c r="AB18" s="391"/>
      <c r="AC18" s="528">
        <f>IF(ISBLANK(H18),0,1)+IF(ISBLANK(K18),0,1)+IF(ISBLANK(N18),0,1)+IF(ISBLANK(Q18),0,1)+IF(ISBLANK(T18),0,1)+IF(ISBLANK(W18),0,1)+IF(ISBLANK(Z18),0,1)</f>
        <v>0</v>
      </c>
      <c r="AD18" s="529"/>
      <c r="AE18" s="305">
        <f>SUM(H18:AB19)</f>
        <v>0</v>
      </c>
      <c r="AF18" s="306"/>
      <c r="AG18" s="307"/>
      <c r="AH18" s="312"/>
      <c r="AI18" s="305">
        <f>IF(AE18&gt;45,45,AE18)</f>
        <v>0</v>
      </c>
      <c r="AJ18" s="306"/>
      <c r="AK18" s="307"/>
      <c r="AL18" s="314">
        <f>AE18-AI18</f>
        <v>0</v>
      </c>
      <c r="AM18" s="315"/>
      <c r="AN18" s="316"/>
      <c r="AP18" s="301" t="s">
        <v>50</v>
      </c>
      <c r="AQ18" s="301"/>
      <c r="AR18" s="301"/>
      <c r="AS18" s="301"/>
      <c r="AT18" s="301"/>
      <c r="AU18" s="301"/>
      <c r="AV18" s="301"/>
      <c r="AW18" s="226"/>
      <c r="AX18" s="226"/>
      <c r="AY18" s="226"/>
      <c r="AZ18" s="226"/>
      <c r="BA18" s="226"/>
      <c r="BB18" s="226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31"/>
      <c r="C19" s="332"/>
      <c r="D19" s="332"/>
      <c r="E19" s="332"/>
      <c r="F19" s="332"/>
      <c r="G19" s="342"/>
      <c r="H19" s="336"/>
      <c r="I19" s="337"/>
      <c r="J19" s="338"/>
      <c r="K19" s="336"/>
      <c r="L19" s="337"/>
      <c r="M19" s="338"/>
      <c r="N19" s="336"/>
      <c r="O19" s="337"/>
      <c r="P19" s="338"/>
      <c r="Q19" s="336"/>
      <c r="R19" s="337"/>
      <c r="S19" s="338"/>
      <c r="T19" s="336"/>
      <c r="U19" s="337"/>
      <c r="V19" s="338"/>
      <c r="W19" s="313"/>
      <c r="X19" s="392"/>
      <c r="Y19" s="393"/>
      <c r="Z19" s="313"/>
      <c r="AA19" s="392"/>
      <c r="AB19" s="393"/>
      <c r="AC19" s="530"/>
      <c r="AD19" s="531"/>
      <c r="AE19" s="308"/>
      <c r="AF19" s="309"/>
      <c r="AG19" s="310"/>
      <c r="AH19" s="313"/>
      <c r="AI19" s="308"/>
      <c r="AJ19" s="309"/>
      <c r="AK19" s="310"/>
      <c r="AL19" s="317"/>
      <c r="AM19" s="318"/>
      <c r="AN19" s="319"/>
      <c r="AP19" s="301"/>
      <c r="AQ19" s="301"/>
      <c r="AR19" s="301"/>
      <c r="AS19" s="301"/>
      <c r="AT19" s="301"/>
      <c r="AU19" s="301"/>
      <c r="AV19" s="301"/>
      <c r="AW19" s="226"/>
      <c r="AX19" s="226"/>
      <c r="AY19" s="226"/>
      <c r="AZ19" s="226"/>
      <c r="BA19" s="226"/>
      <c r="BB19" s="226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29" t="s">
        <v>54</v>
      </c>
      <c r="C20" s="330"/>
      <c r="D20" s="330"/>
      <c r="E20" s="330"/>
      <c r="F20" s="330"/>
      <c r="G20" s="341">
        <f>IF(AC20=0,0,COUNT(H20:AB21)/AC20)</f>
        <v>0</v>
      </c>
      <c r="H20" s="333"/>
      <c r="I20" s="334"/>
      <c r="J20" s="335"/>
      <c r="K20" s="333"/>
      <c r="L20" s="334"/>
      <c r="M20" s="335"/>
      <c r="N20" s="333"/>
      <c r="O20" s="334"/>
      <c r="P20" s="335"/>
      <c r="Q20" s="333"/>
      <c r="R20" s="334"/>
      <c r="S20" s="335"/>
      <c r="T20" s="333"/>
      <c r="U20" s="334"/>
      <c r="V20" s="335"/>
      <c r="W20" s="312"/>
      <c r="X20" s="390"/>
      <c r="Y20" s="391"/>
      <c r="Z20" s="312"/>
      <c r="AA20" s="390"/>
      <c r="AB20" s="391"/>
      <c r="AC20" s="528">
        <f>IF(ISBLANK(H20),0,1)+IF(ISBLANK(K20),0,1)+IF(ISBLANK(N20),0,1)+IF(ISBLANK(Q20),0,1)+IF(ISBLANK(T20),0,1)+IF(ISBLANK(W20),0,1)+IF(ISBLANK(Z20),0,1)</f>
        <v>0</v>
      </c>
      <c r="AD20" s="529"/>
      <c r="AE20" s="305">
        <f>SUM(H20:AB21)</f>
        <v>0</v>
      </c>
      <c r="AF20" s="306"/>
      <c r="AG20" s="307"/>
      <c r="AH20" s="312"/>
      <c r="AI20" s="305">
        <f>IF(AE20&gt;45,45,AE20)</f>
        <v>0</v>
      </c>
      <c r="AJ20" s="306"/>
      <c r="AK20" s="307"/>
      <c r="AL20" s="314">
        <f>AE20-AI20</f>
        <v>0</v>
      </c>
      <c r="AM20" s="315"/>
      <c r="AN20" s="316"/>
      <c r="AP20" s="301"/>
      <c r="AQ20" s="301"/>
      <c r="AR20" s="301"/>
      <c r="AS20" s="301"/>
      <c r="AT20" s="301"/>
      <c r="AU20" s="301"/>
      <c r="AV20" s="301"/>
      <c r="AW20" s="226"/>
      <c r="AX20" s="226"/>
      <c r="AY20" s="226"/>
      <c r="AZ20" s="226"/>
      <c r="BA20" s="226"/>
      <c r="BB20" s="226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31"/>
      <c r="C21" s="332"/>
      <c r="D21" s="332"/>
      <c r="E21" s="332"/>
      <c r="F21" s="332"/>
      <c r="G21" s="342"/>
      <c r="H21" s="336"/>
      <c r="I21" s="337"/>
      <c r="J21" s="338"/>
      <c r="K21" s="336"/>
      <c r="L21" s="337"/>
      <c r="M21" s="338"/>
      <c r="N21" s="336"/>
      <c r="O21" s="337"/>
      <c r="P21" s="338"/>
      <c r="Q21" s="336"/>
      <c r="R21" s="337"/>
      <c r="S21" s="338"/>
      <c r="T21" s="336"/>
      <c r="U21" s="337"/>
      <c r="V21" s="338"/>
      <c r="W21" s="313"/>
      <c r="X21" s="392"/>
      <c r="Y21" s="393"/>
      <c r="Z21" s="313"/>
      <c r="AA21" s="392"/>
      <c r="AB21" s="393"/>
      <c r="AC21" s="530"/>
      <c r="AD21" s="531"/>
      <c r="AE21" s="308"/>
      <c r="AF21" s="309"/>
      <c r="AG21" s="310"/>
      <c r="AH21" s="313"/>
      <c r="AI21" s="308"/>
      <c r="AJ21" s="309"/>
      <c r="AK21" s="310"/>
      <c r="AL21" s="317"/>
      <c r="AM21" s="318"/>
      <c r="AN21" s="319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29" t="s">
        <v>55</v>
      </c>
      <c r="C22" s="330"/>
      <c r="D22" s="330"/>
      <c r="E22" s="330"/>
      <c r="F22" s="330"/>
      <c r="G22" s="341">
        <f>IF(AC22=0,0,COUNT(H22:AB23)/AC22)</f>
        <v>0</v>
      </c>
      <c r="H22" s="333"/>
      <c r="I22" s="334"/>
      <c r="J22" s="335"/>
      <c r="K22" s="333"/>
      <c r="L22" s="334"/>
      <c r="M22" s="335"/>
      <c r="N22" s="333"/>
      <c r="O22" s="334"/>
      <c r="P22" s="335"/>
      <c r="Q22" s="333"/>
      <c r="R22" s="334"/>
      <c r="S22" s="335"/>
      <c r="T22" s="333"/>
      <c r="U22" s="334"/>
      <c r="V22" s="335"/>
      <c r="W22" s="312"/>
      <c r="X22" s="390"/>
      <c r="Y22" s="391"/>
      <c r="Z22" s="312"/>
      <c r="AA22" s="390"/>
      <c r="AB22" s="391"/>
      <c r="AC22" s="357">
        <f>IF(ISBLANK(H22),0,1)+IF(ISBLANK(K22),0,1)+IF(ISBLANK(N22),0,1)+IF(ISBLANK(Q22),0,1)+IF(ISBLANK(T22),0,1)+IF(ISBLANK(W22),0,1)+IF(ISBLANK(Z22),0,1)</f>
        <v>0</v>
      </c>
      <c r="AD22" s="358"/>
      <c r="AE22" s="305">
        <f>SUM(H22:AB23)</f>
        <v>0</v>
      </c>
      <c r="AF22" s="306"/>
      <c r="AG22" s="307"/>
      <c r="AH22" s="312"/>
      <c r="AI22" s="305">
        <f>IF(AE22&gt;45,45,AE22)</f>
        <v>0</v>
      </c>
      <c r="AJ22" s="306"/>
      <c r="AK22" s="307"/>
      <c r="AL22" s="314">
        <f>AE22-AI22</f>
        <v>0</v>
      </c>
      <c r="AM22" s="315"/>
      <c r="AN22" s="316"/>
      <c r="AP22" s="300" t="s">
        <v>133</v>
      </c>
      <c r="AQ22" s="301"/>
      <c r="AR22" s="301"/>
      <c r="AS22" s="301"/>
      <c r="AT22" s="301"/>
      <c r="AU22" s="301"/>
      <c r="AV22" s="301"/>
      <c r="AW22" s="226"/>
      <c r="AX22" s="226"/>
      <c r="AY22" s="226"/>
      <c r="AZ22" s="226"/>
      <c r="BA22" s="226"/>
      <c r="BB22" s="226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31"/>
      <c r="C23" s="332"/>
      <c r="D23" s="332"/>
      <c r="E23" s="332"/>
      <c r="F23" s="332"/>
      <c r="G23" s="342"/>
      <c r="H23" s="336"/>
      <c r="I23" s="337"/>
      <c r="J23" s="338"/>
      <c r="K23" s="336"/>
      <c r="L23" s="337"/>
      <c r="M23" s="338"/>
      <c r="N23" s="336"/>
      <c r="O23" s="337"/>
      <c r="P23" s="338"/>
      <c r="Q23" s="336"/>
      <c r="R23" s="337"/>
      <c r="S23" s="338"/>
      <c r="T23" s="336"/>
      <c r="U23" s="337"/>
      <c r="V23" s="338"/>
      <c r="W23" s="313"/>
      <c r="X23" s="392"/>
      <c r="Y23" s="393"/>
      <c r="Z23" s="313"/>
      <c r="AA23" s="392"/>
      <c r="AB23" s="393"/>
      <c r="AC23" s="387"/>
      <c r="AD23" s="388"/>
      <c r="AE23" s="308"/>
      <c r="AF23" s="309"/>
      <c r="AG23" s="310"/>
      <c r="AH23" s="313"/>
      <c r="AI23" s="308"/>
      <c r="AJ23" s="309"/>
      <c r="AK23" s="310"/>
      <c r="AL23" s="317"/>
      <c r="AM23" s="318"/>
      <c r="AN23" s="319"/>
      <c r="AP23" s="301"/>
      <c r="AQ23" s="301"/>
      <c r="AR23" s="301"/>
      <c r="AS23" s="301"/>
      <c r="AT23" s="301"/>
      <c r="AU23" s="301"/>
      <c r="AV23" s="301"/>
      <c r="AW23" s="226"/>
      <c r="AX23" s="226"/>
      <c r="AY23" s="226"/>
      <c r="AZ23" s="226"/>
      <c r="BA23" s="226"/>
      <c r="BB23" s="226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339" t="s">
        <v>56</v>
      </c>
      <c r="C24" s="340"/>
      <c r="D24" s="340"/>
      <c r="E24" s="340"/>
      <c r="F24" s="340"/>
      <c r="G24" s="341">
        <f>IF(AC24=0,0,COUNT(H24:AB25)/AC24)</f>
        <v>0</v>
      </c>
      <c r="H24" s="333"/>
      <c r="I24" s="334"/>
      <c r="J24" s="335"/>
      <c r="K24" s="333"/>
      <c r="L24" s="334"/>
      <c r="M24" s="335"/>
      <c r="N24" s="333"/>
      <c r="O24" s="334"/>
      <c r="P24" s="335"/>
      <c r="Q24" s="333"/>
      <c r="R24" s="334"/>
      <c r="S24" s="335"/>
      <c r="T24" s="333"/>
      <c r="U24" s="334"/>
      <c r="V24" s="335"/>
      <c r="W24" s="312"/>
      <c r="X24" s="390"/>
      <c r="Y24" s="391"/>
      <c r="Z24" s="312"/>
      <c r="AA24" s="390"/>
      <c r="AB24" s="391"/>
      <c r="AC24" s="357">
        <f>IF(ISBLANK(H24),0,1)+IF(ISBLANK(K24),0,1)+IF(ISBLANK(N24),0,1)+IF(ISBLANK(Q24),0,1)+IF(ISBLANK(T24),0,1)+IF(ISBLANK(W24),0,1)+IF(ISBLANK(Z24),0,1)</f>
        <v>0</v>
      </c>
      <c r="AD24" s="358"/>
      <c r="AE24" s="305">
        <f>SUM(H24:AB25)</f>
        <v>0</v>
      </c>
      <c r="AF24" s="306"/>
      <c r="AG24" s="307"/>
      <c r="AH24" s="312"/>
      <c r="AI24" s="305">
        <f>IF(AE24&gt;45,45,AE24)</f>
        <v>0</v>
      </c>
      <c r="AJ24" s="306"/>
      <c r="AK24" s="307"/>
      <c r="AL24" s="314">
        <f>AE24-AI24</f>
        <v>0</v>
      </c>
      <c r="AM24" s="315"/>
      <c r="AN24" s="316"/>
      <c r="AP24" s="301"/>
      <c r="AQ24" s="301"/>
      <c r="AR24" s="301"/>
      <c r="AS24" s="301"/>
      <c r="AT24" s="301"/>
      <c r="AU24" s="301"/>
      <c r="AV24" s="301"/>
      <c r="AW24" s="226"/>
      <c r="AX24" s="226"/>
      <c r="AY24" s="226"/>
      <c r="AZ24" s="226"/>
      <c r="BA24" s="226"/>
      <c r="BB24" s="226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31"/>
      <c r="C25" s="332"/>
      <c r="D25" s="332"/>
      <c r="E25" s="332"/>
      <c r="F25" s="332"/>
      <c r="G25" s="342"/>
      <c r="H25" s="336"/>
      <c r="I25" s="337"/>
      <c r="J25" s="338"/>
      <c r="K25" s="336"/>
      <c r="L25" s="337"/>
      <c r="M25" s="338"/>
      <c r="N25" s="336"/>
      <c r="O25" s="337"/>
      <c r="P25" s="338"/>
      <c r="Q25" s="336"/>
      <c r="R25" s="337"/>
      <c r="S25" s="338"/>
      <c r="T25" s="336"/>
      <c r="U25" s="337"/>
      <c r="V25" s="338"/>
      <c r="W25" s="313"/>
      <c r="X25" s="392"/>
      <c r="Y25" s="393"/>
      <c r="Z25" s="313"/>
      <c r="AA25" s="392"/>
      <c r="AB25" s="393"/>
      <c r="AC25" s="387"/>
      <c r="AD25" s="388"/>
      <c r="AE25" s="308"/>
      <c r="AF25" s="309"/>
      <c r="AG25" s="310"/>
      <c r="AH25" s="313"/>
      <c r="AI25" s="308"/>
      <c r="AJ25" s="309"/>
      <c r="AK25" s="310"/>
      <c r="AL25" s="317"/>
      <c r="AM25" s="318"/>
      <c r="AN25" s="319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375" t="s">
        <v>135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7"/>
      <c r="N26" s="242">
        <f>$AW$26</f>
        <v>47</v>
      </c>
      <c r="O26" s="242"/>
      <c r="P26" s="242"/>
      <c r="Q26" s="243" t="str">
        <f>IF(N26&lt;47,"Activité sur  année incomplète","(1) Activité sur année complète.")</f>
        <v>(1) Activité sur année complète.</v>
      </c>
      <c r="R26" s="243"/>
      <c r="S26" s="243"/>
      <c r="T26" s="243"/>
      <c r="U26" s="243"/>
      <c r="V26" s="243"/>
      <c r="W26" s="243"/>
      <c r="X26" s="243"/>
      <c r="Y26" s="243"/>
      <c r="Z26" s="244" t="s">
        <v>28</v>
      </c>
      <c r="AA26" s="244"/>
      <c r="AB26" s="244"/>
      <c r="AC26" s="389" t="e">
        <f>SUMPRODUCT(AC15:AC25,AH15:AH25)/SUM(AH15:AH25)</f>
        <v>#DIV/0!</v>
      </c>
      <c r="AD26" s="389"/>
      <c r="AE26" s="304" t="e">
        <f>SUMPRODUCT(AE15:AE25,AH15:AH25)/SUM(AH15:AH25)</f>
        <v>#DIV/0!</v>
      </c>
      <c r="AF26" s="304"/>
      <c r="AG26" s="304"/>
      <c r="AH26" s="360">
        <f>SUM(AH15:AH25)</f>
        <v>0</v>
      </c>
      <c r="AI26" s="303" t="e">
        <f>SUMPRODUCT(AI15:AI25,AH15:AH25)/SUM(AH15:AH25)</f>
        <v>#DIV/0!</v>
      </c>
      <c r="AJ26" s="303"/>
      <c r="AK26" s="303"/>
      <c r="AL26" s="303" t="e">
        <f>SUMPRODUCT(AL15:AL25,AH15:AH25)/SUM(AH15:AH25)</f>
        <v>#DIV/0!</v>
      </c>
      <c r="AM26" s="303"/>
      <c r="AN26" s="303"/>
      <c r="AP26" s="311" t="s">
        <v>10</v>
      </c>
      <c r="AQ26" s="311"/>
      <c r="AR26" s="311"/>
      <c r="AS26" s="311"/>
      <c r="AT26" s="311"/>
      <c r="AU26" s="311"/>
      <c r="AV26" s="311"/>
      <c r="AW26" s="295">
        <f>IF($AW$14-$AW$18-$AW$22&gt;=47,47,$AW$14-$AW$18-$AW$22)</f>
        <v>47</v>
      </c>
      <c r="AX26" s="295"/>
      <c r="AY26" s="295"/>
      <c r="AZ26" s="295"/>
      <c r="BA26" s="295"/>
      <c r="BB26" s="295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378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80"/>
      <c r="N27" s="242"/>
      <c r="O27" s="242"/>
      <c r="P27" s="242"/>
      <c r="Q27" s="243"/>
      <c r="R27" s="243"/>
      <c r="S27" s="243"/>
      <c r="T27" s="243"/>
      <c r="U27" s="243"/>
      <c r="V27" s="243"/>
      <c r="W27" s="243"/>
      <c r="X27" s="243"/>
      <c r="Y27" s="243"/>
      <c r="Z27" s="244"/>
      <c r="AA27" s="244"/>
      <c r="AB27" s="244"/>
      <c r="AC27" s="389"/>
      <c r="AD27" s="389"/>
      <c r="AE27" s="304"/>
      <c r="AF27" s="304"/>
      <c r="AG27" s="304"/>
      <c r="AH27" s="361"/>
      <c r="AI27" s="303"/>
      <c r="AJ27" s="303"/>
      <c r="AK27" s="303"/>
      <c r="AL27" s="303"/>
      <c r="AM27" s="303"/>
      <c r="AN27" s="303"/>
      <c r="AP27" s="311"/>
      <c r="AQ27" s="311"/>
      <c r="AR27" s="311"/>
      <c r="AS27" s="311"/>
      <c r="AT27" s="311"/>
      <c r="AU27" s="311"/>
      <c r="AV27" s="311"/>
      <c r="AW27" s="295"/>
      <c r="AX27" s="295"/>
      <c r="AY27" s="295"/>
      <c r="AZ27" s="295"/>
      <c r="BA27" s="295"/>
      <c r="BB27" s="295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381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3"/>
      <c r="N28" s="242"/>
      <c r="O28" s="242"/>
      <c r="P28" s="242"/>
      <c r="Q28" s="243"/>
      <c r="R28" s="243"/>
      <c r="S28" s="243"/>
      <c r="T28" s="243"/>
      <c r="U28" s="243"/>
      <c r="V28" s="243"/>
      <c r="W28" s="243"/>
      <c r="X28" s="243"/>
      <c r="Y28" s="243"/>
      <c r="Z28" s="244"/>
      <c r="AA28" s="244"/>
      <c r="AB28" s="244"/>
      <c r="AC28" s="389"/>
      <c r="AD28" s="389"/>
      <c r="AE28" s="304"/>
      <c r="AF28" s="304"/>
      <c r="AG28" s="304"/>
      <c r="AH28" s="362"/>
      <c r="AI28" s="303"/>
      <c r="AJ28" s="303"/>
      <c r="AK28" s="303"/>
      <c r="AL28" s="303"/>
      <c r="AM28" s="303"/>
      <c r="AN28" s="303"/>
      <c r="AP28" s="311"/>
      <c r="AQ28" s="311"/>
      <c r="AR28" s="311"/>
      <c r="AS28" s="311"/>
      <c r="AT28" s="311"/>
      <c r="AU28" s="311"/>
      <c r="AV28" s="311"/>
      <c r="AW28" s="295"/>
      <c r="AX28" s="295"/>
      <c r="AY28" s="295"/>
      <c r="AZ28" s="295"/>
      <c r="BA28" s="295"/>
      <c r="BB28" s="295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364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 xml:space="preserve"> (1)Activité sur année complète est obligatoirement calculée sur 52 semaines soit 5 semaines de congés payés inclus et 47 semaines de travail prévu.</v>
      </c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BC29"/>
      <c r="BD29" s="176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73" t="s">
        <v>11</v>
      </c>
      <c r="C32" s="345"/>
      <c r="D32" s="345"/>
      <c r="E32" s="345"/>
      <c r="F32" s="345"/>
      <c r="G32" s="274"/>
      <c r="H32" s="261" t="s">
        <v>15</v>
      </c>
      <c r="I32" s="474"/>
      <c r="J32" s="262"/>
      <c r="K32" s="283" t="s">
        <v>18</v>
      </c>
      <c r="L32" s="261" t="s">
        <v>17</v>
      </c>
      <c r="M32" s="474"/>
      <c r="N32" s="262"/>
      <c r="O32" s="283" t="s">
        <v>19</v>
      </c>
      <c r="P32" s="273" t="s">
        <v>12</v>
      </c>
      <c r="Q32" s="274"/>
      <c r="R32" s="501" t="s">
        <v>20</v>
      </c>
      <c r="S32" s="394" t="s">
        <v>13</v>
      </c>
      <c r="T32" s="395"/>
      <c r="U32" s="396"/>
      <c r="V32" s="283" t="s">
        <v>18</v>
      </c>
      <c r="W32" s="273" t="s">
        <v>14</v>
      </c>
      <c r="X32" s="345"/>
      <c r="Y32" s="274"/>
      <c r="Z32" s="273" t="s">
        <v>41</v>
      </c>
      <c r="AA32" s="345"/>
      <c r="AB32" s="274"/>
      <c r="AC32" s="267" t="s">
        <v>18</v>
      </c>
      <c r="AD32" s="261" t="s">
        <v>16</v>
      </c>
      <c r="AE32" s="262"/>
      <c r="AF32" s="272" t="s">
        <v>101</v>
      </c>
      <c r="AG32" s="272"/>
      <c r="AH32" s="272"/>
      <c r="AI32" s="272"/>
      <c r="AK32" s="215" t="s">
        <v>98</v>
      </c>
      <c r="AL32" s="215"/>
      <c r="AM32" s="215"/>
      <c r="AN32" s="215"/>
      <c r="AP32" s="208" t="str">
        <f>IF(N26&lt;47,"Vous êtes en année incomplète","Vous êtes en année complète.")</f>
        <v>Vous êtes en année complète.</v>
      </c>
      <c r="AQ32" s="208"/>
      <c r="AR32" s="208"/>
      <c r="AS32" s="208"/>
      <c r="AT32" s="208"/>
      <c r="AU32" s="208"/>
      <c r="AV32" s="208"/>
      <c r="AX32" s="227" t="s">
        <v>99</v>
      </c>
      <c r="AY32" s="228"/>
      <c r="AZ32" s="228"/>
      <c r="BA32" s="228"/>
      <c r="BB32" s="229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75"/>
      <c r="C33" s="346"/>
      <c r="D33" s="346"/>
      <c r="E33" s="346"/>
      <c r="F33" s="346"/>
      <c r="G33" s="276"/>
      <c r="H33" s="263"/>
      <c r="I33" s="475"/>
      <c r="J33" s="264"/>
      <c r="K33" s="284"/>
      <c r="L33" s="263"/>
      <c r="M33" s="475"/>
      <c r="N33" s="264"/>
      <c r="O33" s="284"/>
      <c r="P33" s="275"/>
      <c r="Q33" s="276"/>
      <c r="R33" s="502"/>
      <c r="S33" s="397"/>
      <c r="T33" s="398"/>
      <c r="U33" s="399"/>
      <c r="V33" s="284"/>
      <c r="W33" s="275"/>
      <c r="X33" s="346"/>
      <c r="Y33" s="276"/>
      <c r="Z33" s="275"/>
      <c r="AA33" s="346"/>
      <c r="AB33" s="276"/>
      <c r="AC33" s="268"/>
      <c r="AD33" s="263"/>
      <c r="AE33" s="264"/>
      <c r="AF33" s="272"/>
      <c r="AG33" s="272"/>
      <c r="AH33" s="272"/>
      <c r="AI33" s="272"/>
      <c r="AK33" s="215"/>
      <c r="AL33" s="215"/>
      <c r="AM33" s="215"/>
      <c r="AN33" s="215"/>
      <c r="AO33" s="7"/>
      <c r="AP33" s="208"/>
      <c r="AQ33" s="208"/>
      <c r="AR33" s="208"/>
      <c r="AS33" s="208"/>
      <c r="AT33" s="208"/>
      <c r="AU33" s="208"/>
      <c r="AV33" s="208"/>
      <c r="AX33" s="230"/>
      <c r="AY33" s="231"/>
      <c r="AZ33" s="231"/>
      <c r="BA33" s="231"/>
      <c r="BB33" s="232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75"/>
      <c r="C34" s="346"/>
      <c r="D34" s="346"/>
      <c r="E34" s="346"/>
      <c r="F34" s="346"/>
      <c r="G34" s="276"/>
      <c r="H34" s="263"/>
      <c r="I34" s="475"/>
      <c r="J34" s="264"/>
      <c r="K34" s="284"/>
      <c r="L34" s="263"/>
      <c r="M34" s="475"/>
      <c r="N34" s="264"/>
      <c r="O34" s="284"/>
      <c r="P34" s="275"/>
      <c r="Q34" s="276"/>
      <c r="R34" s="502"/>
      <c r="S34" s="397"/>
      <c r="T34" s="398"/>
      <c r="U34" s="399"/>
      <c r="V34" s="284"/>
      <c r="W34" s="275"/>
      <c r="X34" s="346"/>
      <c r="Y34" s="276"/>
      <c r="Z34" s="275"/>
      <c r="AA34" s="346"/>
      <c r="AB34" s="276"/>
      <c r="AC34" s="268"/>
      <c r="AD34" s="263"/>
      <c r="AE34" s="264"/>
      <c r="AF34" s="272"/>
      <c r="AG34" s="272"/>
      <c r="AH34" s="272"/>
      <c r="AI34" s="272"/>
      <c r="AK34" s="215"/>
      <c r="AL34" s="215"/>
      <c r="AM34" s="215"/>
      <c r="AN34" s="215"/>
      <c r="AO34"/>
      <c r="AP34" s="208"/>
      <c r="AQ34" s="208"/>
      <c r="AR34" s="208"/>
      <c r="AS34" s="208"/>
      <c r="AT34" s="208"/>
      <c r="AU34" s="208"/>
      <c r="AV34" s="208"/>
      <c r="AW34"/>
      <c r="AX34" s="230"/>
      <c r="AY34" s="231"/>
      <c r="AZ34" s="231"/>
      <c r="BA34" s="231"/>
      <c r="BB34" s="232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77"/>
      <c r="C35" s="347"/>
      <c r="D35" s="347"/>
      <c r="E35" s="347"/>
      <c r="F35" s="347"/>
      <c r="G35" s="278"/>
      <c r="H35" s="265"/>
      <c r="I35" s="476"/>
      <c r="J35" s="266"/>
      <c r="K35" s="285"/>
      <c r="L35" s="265"/>
      <c r="M35" s="476"/>
      <c r="N35" s="266"/>
      <c r="O35" s="285"/>
      <c r="P35" s="277"/>
      <c r="Q35" s="278"/>
      <c r="R35" s="503"/>
      <c r="S35" s="400"/>
      <c r="T35" s="401"/>
      <c r="U35" s="402"/>
      <c r="V35" s="285"/>
      <c r="W35" s="277"/>
      <c r="X35" s="347"/>
      <c r="Y35" s="278"/>
      <c r="Z35" s="277"/>
      <c r="AA35" s="347"/>
      <c r="AB35" s="278"/>
      <c r="AC35" s="269"/>
      <c r="AD35" s="265"/>
      <c r="AE35" s="266"/>
      <c r="AF35" s="272"/>
      <c r="AG35" s="272"/>
      <c r="AH35" s="272"/>
      <c r="AI35" s="272"/>
      <c r="AK35" s="215"/>
      <c r="AL35" s="215"/>
      <c r="AM35" s="215"/>
      <c r="AN35" s="215"/>
      <c r="AO35"/>
      <c r="AP35" s="208"/>
      <c r="AQ35" s="208"/>
      <c r="AR35" s="208"/>
      <c r="AS35" s="208"/>
      <c r="AT35" s="208"/>
      <c r="AU35" s="208"/>
      <c r="AV35" s="208"/>
      <c r="AX35" s="233"/>
      <c r="AY35" s="234"/>
      <c r="AZ35" s="234"/>
      <c r="BA35" s="234"/>
      <c r="BB35" s="2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72" t="s">
        <v>32</v>
      </c>
      <c r="C37" s="573"/>
      <c r="D37" s="573"/>
      <c r="E37" s="573"/>
      <c r="F37" s="573"/>
      <c r="G37" s="574"/>
      <c r="H37" s="368">
        <f>IF(ISBLANK(AC6),0,AI26)</f>
        <v>0</v>
      </c>
      <c r="I37" s="369"/>
      <c r="J37" s="370"/>
      <c r="K37" s="448" t="s">
        <v>18</v>
      </c>
      <c r="L37" s="495">
        <f>IF($AW$26=47,$AW$14,$AW$26)</f>
        <v>52</v>
      </c>
      <c r="M37" s="496"/>
      <c r="N37" s="497"/>
      <c r="O37" s="366" t="s">
        <v>19</v>
      </c>
      <c r="P37" s="579">
        <v>12</v>
      </c>
      <c r="Q37" s="580"/>
      <c r="R37" s="255" t="s">
        <v>20</v>
      </c>
      <c r="S37" s="286">
        <f>ROUND(H37*L37/P37,2)</f>
        <v>0</v>
      </c>
      <c r="T37" s="287"/>
      <c r="U37" s="288"/>
      <c r="V37" s="255" t="s">
        <v>18</v>
      </c>
      <c r="W37" s="245">
        <f>AC6</f>
        <v>0</v>
      </c>
      <c r="X37" s="246"/>
      <c r="Y37" s="247"/>
      <c r="Z37" s="245">
        <f>S37*W37</f>
        <v>0</v>
      </c>
      <c r="AA37" s="246"/>
      <c r="AB37" s="247"/>
      <c r="AC37" s="270" t="s">
        <v>18</v>
      </c>
      <c r="AD37" s="257">
        <f>Sources!H15</f>
        <v>0.21880250000000001</v>
      </c>
      <c r="AE37" s="258"/>
      <c r="AF37" s="202">
        <f>ROUND(Z37*(1-AD37),2)</f>
        <v>0</v>
      </c>
      <c r="AG37" s="203"/>
      <c r="AH37" s="203"/>
      <c r="AI37" s="204"/>
      <c r="AJ37" s="343" t="s">
        <v>100</v>
      </c>
      <c r="AK37" s="201">
        <f>AF37+AF40</f>
        <v>0</v>
      </c>
      <c r="AL37" s="201"/>
      <c r="AM37" s="201"/>
      <c r="AN37" s="201"/>
      <c r="AO37" s="7"/>
      <c r="AP37" s="212" t="str">
        <f>IF(AND(N26&lt;47,AW18&lt;&gt;0),"Calcul indicatif des congés par an","")</f>
        <v/>
      </c>
      <c r="AQ37" s="212"/>
      <c r="AR37" s="212"/>
      <c r="AS37" s="212"/>
      <c r="AT37" s="212"/>
      <c r="AU37" s="212"/>
      <c r="AV37" s="212"/>
      <c r="AX37" s="217">
        <f>IF(AND(N26&lt;47,AW18&lt;&gt;0),AK37*12*1.11,AK37*12)</f>
        <v>0</v>
      </c>
      <c r="AY37" s="218"/>
      <c r="AZ37" s="218"/>
      <c r="BA37" s="218"/>
      <c r="BB37" s="219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75"/>
      <c r="C38" s="576"/>
      <c r="D38" s="576"/>
      <c r="E38" s="576"/>
      <c r="F38" s="576"/>
      <c r="G38" s="577"/>
      <c r="H38" s="371"/>
      <c r="I38" s="372"/>
      <c r="J38" s="373"/>
      <c r="K38" s="449"/>
      <c r="L38" s="498"/>
      <c r="M38" s="499"/>
      <c r="N38" s="500"/>
      <c r="O38" s="367"/>
      <c r="P38" s="581"/>
      <c r="Q38" s="582"/>
      <c r="R38" s="256"/>
      <c r="S38" s="289"/>
      <c r="T38" s="290"/>
      <c r="U38" s="291"/>
      <c r="V38" s="256"/>
      <c r="W38" s="248"/>
      <c r="X38" s="249"/>
      <c r="Y38" s="250"/>
      <c r="Z38" s="248"/>
      <c r="AA38" s="249"/>
      <c r="AB38" s="250"/>
      <c r="AC38" s="271"/>
      <c r="AD38" s="259"/>
      <c r="AE38" s="260"/>
      <c r="AF38" s="205"/>
      <c r="AG38" s="206"/>
      <c r="AH38" s="206"/>
      <c r="AI38" s="207"/>
      <c r="AJ38" s="343"/>
      <c r="AK38" s="201"/>
      <c r="AL38" s="201"/>
      <c r="AM38" s="201"/>
      <c r="AN38" s="201"/>
      <c r="AP38" s="212"/>
      <c r="AQ38" s="212"/>
      <c r="AR38" s="212"/>
      <c r="AS38" s="212"/>
      <c r="AT38" s="212"/>
      <c r="AU38" s="212"/>
      <c r="AV38" s="212"/>
      <c r="AW38" s="70"/>
      <c r="AX38" s="220"/>
      <c r="AY38" s="221"/>
      <c r="AZ38" s="221"/>
      <c r="BA38" s="221"/>
      <c r="BB38" s="222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344"/>
      <c r="AK39" s="201"/>
      <c r="AL39" s="201"/>
      <c r="AM39" s="201"/>
      <c r="AN39" s="201"/>
      <c r="AO39"/>
      <c r="AP39"/>
      <c r="AQ39"/>
      <c r="AR39"/>
      <c r="AS39"/>
      <c r="AT39"/>
      <c r="AU39"/>
      <c r="AV39"/>
      <c r="AW39" s="70"/>
      <c r="AX39" s="220"/>
      <c r="AY39" s="221"/>
      <c r="AZ39" s="221"/>
      <c r="BA39" s="221"/>
      <c r="BB39" s="222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89" t="s">
        <v>31</v>
      </c>
      <c r="C40" s="490"/>
      <c r="D40" s="490"/>
      <c r="E40" s="490"/>
      <c r="F40" s="490"/>
      <c r="G40" s="491"/>
      <c r="H40" s="368">
        <f>IF(ISBLANK(AC6),0,AL26)</f>
        <v>0</v>
      </c>
      <c r="I40" s="369"/>
      <c r="J40" s="370"/>
      <c r="K40" s="448" t="s">
        <v>18</v>
      </c>
      <c r="L40" s="495">
        <f>IF($AW$26=47,$AW$14,$AW$26)</f>
        <v>52</v>
      </c>
      <c r="M40" s="496"/>
      <c r="N40" s="497"/>
      <c r="O40" s="448" t="s">
        <v>19</v>
      </c>
      <c r="P40" s="251">
        <v>12</v>
      </c>
      <c r="Q40" s="252"/>
      <c r="R40" s="255" t="s">
        <v>20</v>
      </c>
      <c r="S40" s="286">
        <f>ROUND(H40*L40/P40,2)</f>
        <v>0</v>
      </c>
      <c r="T40" s="287"/>
      <c r="U40" s="288"/>
      <c r="V40" s="255" t="s">
        <v>18</v>
      </c>
      <c r="W40" s="245">
        <f>AC6+(AC6*R8)</f>
        <v>0</v>
      </c>
      <c r="X40" s="246"/>
      <c r="Y40" s="247"/>
      <c r="Z40" s="245">
        <f>S40*W40</f>
        <v>0</v>
      </c>
      <c r="AA40" s="246"/>
      <c r="AB40" s="247"/>
      <c r="AC40" s="255" t="s">
        <v>18</v>
      </c>
      <c r="AD40" s="257">
        <f>Sources!H16</f>
        <v>0.10570250000000003</v>
      </c>
      <c r="AE40" s="258"/>
      <c r="AF40" s="202">
        <f>ROUND(Z40*(1-AD40),2)</f>
        <v>0</v>
      </c>
      <c r="AG40" s="203"/>
      <c r="AH40" s="203"/>
      <c r="AI40" s="204"/>
      <c r="AJ40" s="343"/>
      <c r="AK40" s="201"/>
      <c r="AL40" s="201"/>
      <c r="AM40" s="201"/>
      <c r="AN40" s="201"/>
      <c r="AP40" s="201" t="str">
        <f>IF(AND(N26&lt;47,AW18&lt;&gt;0),AK37*0.11*12,"")</f>
        <v/>
      </c>
      <c r="AQ40" s="201"/>
      <c r="AR40" s="201"/>
      <c r="AS40" s="201"/>
      <c r="AT40" s="201"/>
      <c r="AU40" s="201"/>
      <c r="AV40" s="201"/>
      <c r="AX40" s="220"/>
      <c r="AY40" s="221"/>
      <c r="AZ40" s="221"/>
      <c r="BA40" s="221"/>
      <c r="BB40" s="222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92"/>
      <c r="C41" s="493"/>
      <c r="D41" s="493"/>
      <c r="E41" s="493"/>
      <c r="F41" s="493"/>
      <c r="G41" s="494"/>
      <c r="H41" s="371"/>
      <c r="I41" s="372"/>
      <c r="J41" s="373"/>
      <c r="K41" s="449"/>
      <c r="L41" s="498"/>
      <c r="M41" s="499"/>
      <c r="N41" s="500"/>
      <c r="O41" s="449"/>
      <c r="P41" s="253"/>
      <c r="Q41" s="254"/>
      <c r="R41" s="256"/>
      <c r="S41" s="289"/>
      <c r="T41" s="290"/>
      <c r="U41" s="291"/>
      <c r="V41" s="256"/>
      <c r="W41" s="248"/>
      <c r="X41" s="249"/>
      <c r="Y41" s="250"/>
      <c r="Z41" s="248"/>
      <c r="AA41" s="249"/>
      <c r="AB41" s="250"/>
      <c r="AC41" s="256"/>
      <c r="AD41" s="259"/>
      <c r="AE41" s="260"/>
      <c r="AF41" s="205"/>
      <c r="AG41" s="206"/>
      <c r="AH41" s="206"/>
      <c r="AI41" s="207"/>
      <c r="AJ41" s="343"/>
      <c r="AK41" s="201"/>
      <c r="AL41" s="201"/>
      <c r="AM41" s="201"/>
      <c r="AN41" s="201"/>
      <c r="AO41" s="5"/>
      <c r="AP41" s="201"/>
      <c r="AQ41" s="201"/>
      <c r="AR41" s="201"/>
      <c r="AS41" s="201"/>
      <c r="AT41" s="201"/>
      <c r="AU41" s="201"/>
      <c r="AV41" s="201"/>
      <c r="AX41" s="223"/>
      <c r="AY41" s="224"/>
      <c r="AZ41" s="224"/>
      <c r="BA41" s="224"/>
      <c r="BB41" s="225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279" t="s">
        <v>102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23" t="s">
        <v>103</v>
      </c>
      <c r="C45" s="431" t="s">
        <v>94</v>
      </c>
      <c r="D45" s="432"/>
      <c r="E45" s="432"/>
      <c r="F45" s="432"/>
      <c r="G45" s="432"/>
      <c r="H45" s="432"/>
      <c r="I45" s="432"/>
      <c r="J45" s="432"/>
      <c r="K45" s="432"/>
      <c r="L45" s="436"/>
      <c r="M45" s="437"/>
      <c r="N45" s="105"/>
      <c r="O45" s="375" t="s">
        <v>180</v>
      </c>
      <c r="P45" s="377"/>
      <c r="Q45" s="433" t="str">
        <f>IF(L45=0,"",L45*Q50)</f>
        <v/>
      </c>
      <c r="R45" s="434"/>
      <c r="S45" s="434"/>
      <c r="T45" s="435"/>
      <c r="U45" s="142"/>
      <c r="V45"/>
      <c r="AB45" s="359" t="s">
        <v>37</v>
      </c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Q45" s="32" t="s">
        <v>194</v>
      </c>
      <c r="AR45" s="33"/>
      <c r="AS45" s="33"/>
      <c r="AT45" s="33"/>
      <c r="AU45" s="33"/>
      <c r="AV45" s="33"/>
      <c r="AW45" s="33"/>
      <c r="AX45" s="33"/>
      <c r="AY45" s="33"/>
      <c r="AZ45" s="236">
        <f>IF(B55&lt;=0,0,R55/B55)</f>
        <v>0</v>
      </c>
      <c r="BA45" s="237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23"/>
      <c r="C46" s="77"/>
      <c r="I46" s="1"/>
      <c r="J46" s="1"/>
      <c r="K46" s="1"/>
      <c r="L46" s="155"/>
      <c r="M46" s="171"/>
      <c r="N46" s="79"/>
      <c r="O46" s="378"/>
      <c r="P46" s="380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23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36"/>
      <c r="M47" s="437"/>
      <c r="N47" s="105"/>
      <c r="O47" s="378"/>
      <c r="P47" s="380"/>
      <c r="Q47" s="433" t="str">
        <f>IF(L47=0,"",L47*Q50)</f>
        <v/>
      </c>
      <c r="R47" s="434"/>
      <c r="S47" s="434"/>
      <c r="T47" s="435"/>
      <c r="U47" s="142"/>
      <c r="V47"/>
      <c r="AB47" s="24" t="s">
        <v>191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13">
        <f>ROUND(S37*(1+IF(AND(N26&lt;47,AW18&lt;&gt;0),0.11,0)),0)</f>
        <v>0</v>
      </c>
      <c r="AO47" s="214"/>
      <c r="AQ47" s="216" t="str">
        <f>"si supérieur au plafond horaire " &amp;Sources!X21 &amp; " de " &amp; Sources!X22 &amp; " € le montant supplémentaire est non pris en charge par le CMG - les cotisations patronales sont dûes en sus"</f>
        <v>si supérieur au plafond horaire 2026 de 8,09 € le montant supplémentaire est non pris en charge par le CMG - les cotisations patronales sont dûes en sus</v>
      </c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5.25" customHeight="1" x14ac:dyDescent="0.2">
      <c r="B48" s="423"/>
      <c r="C48" s="77"/>
      <c r="I48" s="1"/>
      <c r="J48" s="1"/>
      <c r="K48" s="1"/>
      <c r="L48" s="155"/>
      <c r="M48" s="171"/>
      <c r="N48" s="79"/>
      <c r="O48" s="378"/>
      <c r="P48" s="380"/>
      <c r="Q48"/>
      <c r="R48"/>
      <c r="S48"/>
      <c r="T48"/>
      <c r="U48" s="142"/>
      <c r="V48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6.5" customHeight="1" x14ac:dyDescent="0.2">
      <c r="B49" s="424"/>
      <c r="C49" s="452" t="s">
        <v>95</v>
      </c>
      <c r="D49" s="453"/>
      <c r="E49" s="453"/>
      <c r="F49" s="453"/>
      <c r="G49" s="453"/>
      <c r="H49" s="453"/>
      <c r="I49" s="453"/>
      <c r="J49" s="453"/>
      <c r="K49" s="453"/>
      <c r="L49" s="465"/>
      <c r="M49" s="466"/>
      <c r="N49" s="105"/>
      <c r="O49" s="381"/>
      <c r="P49" s="383"/>
      <c r="Q49" s="454" t="str">
        <f>IF(L49=0,"",L49*Q50)</f>
        <v/>
      </c>
      <c r="R49" s="455"/>
      <c r="S49" s="455"/>
      <c r="T49" s="456"/>
      <c r="U49" s="142"/>
      <c r="V49"/>
      <c r="AB49" s="24" t="s">
        <v>197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13">
        <f>ROUND(S40*(1+IF(AND(N26&lt;47,AW18&lt;&gt;0),0.11,0)),0)</f>
        <v>0</v>
      </c>
      <c r="AO49" s="214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.75" customHeight="1" x14ac:dyDescent="0.2">
      <c r="B50" s="425" t="s">
        <v>181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40">
        <f>IF(ISBLANK(AC6),0,ROUND(4.33*AC26,0))</f>
        <v>0</v>
      </c>
      <c r="R50" s="440"/>
      <c r="S50" s="440"/>
      <c r="T50" s="440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78"/>
      <c r="T51" s="78"/>
      <c r="U51" s="216" t="str">
        <f>"si supérieur au plafond horaire " &amp;Sources!X21 &amp; " de " &amp; Sources!X22 &amp; " € le montant supplémentaire est non pris en charge par le CMG - les cotisations patronales sont dûes en sus"</f>
        <v>si supérieur au plafond horaire 2026 de 8,09 € le montant supplémentaire est non pris en charge par le CMG - les cotisations patronales sont dûes en sus</v>
      </c>
      <c r="V51" s="216"/>
      <c r="W51" s="216"/>
      <c r="X51" s="216"/>
      <c r="Y51" s="216"/>
      <c r="Z51" s="216"/>
      <c r="AA51" s="216"/>
      <c r="AB51" s="216"/>
      <c r="AC51" s="1"/>
      <c r="AD51" s="1"/>
      <c r="AE51" s="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4.5" customHeight="1" x14ac:dyDescent="0.2"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6"/>
      <c r="T52" s="6"/>
      <c r="U52" s="216"/>
      <c r="V52" s="216"/>
      <c r="W52" s="216"/>
      <c r="X52" s="216"/>
      <c r="Y52" s="216"/>
      <c r="Z52" s="216"/>
      <c r="AA52" s="216"/>
      <c r="AB52" s="216"/>
      <c r="AC52" s="1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39" t="s">
        <v>162</v>
      </c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184"/>
      <c r="T53" s="184"/>
      <c r="U53" s="374"/>
      <c r="V53" s="374"/>
      <c r="W53" s="374"/>
      <c r="X53" s="374"/>
      <c r="Y53" s="374"/>
      <c r="Z53" s="374"/>
      <c r="AA53" s="374"/>
      <c r="AB53" s="374"/>
      <c r="AC53" s="1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7.5" customHeight="1" x14ac:dyDescent="0.2">
      <c r="B54" s="445" t="s">
        <v>192</v>
      </c>
      <c r="C54" s="446"/>
      <c r="D54" s="447"/>
      <c r="E54" s="445" t="s">
        <v>173</v>
      </c>
      <c r="F54" s="446"/>
      <c r="G54" s="446"/>
      <c r="H54" s="447"/>
      <c r="I54" s="445" t="s">
        <v>157</v>
      </c>
      <c r="J54" s="446"/>
      <c r="K54" s="447"/>
      <c r="L54" s="445" t="s">
        <v>179</v>
      </c>
      <c r="M54" s="446"/>
      <c r="N54" s="447"/>
      <c r="O54" s="445" t="s">
        <v>158</v>
      </c>
      <c r="P54" s="446"/>
      <c r="Q54" s="447"/>
      <c r="R54" s="445" t="s">
        <v>193</v>
      </c>
      <c r="S54" s="446"/>
      <c r="T54" s="446"/>
      <c r="U54" s="447"/>
      <c r="V54" s="445" t="s">
        <v>160</v>
      </c>
      <c r="W54" s="446"/>
      <c r="X54" s="447"/>
      <c r="Y54" s="445" t="s">
        <v>159</v>
      </c>
      <c r="Z54" s="446"/>
      <c r="AA54" s="447"/>
      <c r="AB54" s="445" t="s">
        <v>166</v>
      </c>
      <c r="AC54" s="446"/>
      <c r="AD54" s="447"/>
      <c r="AE54" s="584" t="s">
        <v>174</v>
      </c>
      <c r="AF54" s="586"/>
      <c r="AG54" s="584" t="s">
        <v>168</v>
      </c>
      <c r="AH54" s="586"/>
      <c r="AI54" s="584" t="s">
        <v>169</v>
      </c>
      <c r="AJ54" s="585"/>
      <c r="AK54" s="585"/>
      <c r="AL54" s="586"/>
      <c r="AM54" s="210" t="s">
        <v>183</v>
      </c>
      <c r="AN54" s="210"/>
      <c r="AO54" s="210"/>
      <c r="AP54" s="210" t="s">
        <v>182</v>
      </c>
      <c r="AQ54" s="210"/>
      <c r="AR54" s="210"/>
      <c r="AS54" s="210" t="s">
        <v>172</v>
      </c>
      <c r="AT54" s="210"/>
      <c r="AU54" s="210"/>
      <c r="AV54" s="210"/>
      <c r="AW54" s="210" t="s">
        <v>33</v>
      </c>
      <c r="AX54" s="210"/>
      <c r="AY54" s="210"/>
      <c r="AZ54" s="210" t="s">
        <v>184</v>
      </c>
      <c r="BA54" s="210"/>
      <c r="BB54" s="210"/>
      <c r="BC54"/>
      <c r="BD54"/>
      <c r="BE54"/>
      <c r="BF54"/>
      <c r="BG54"/>
      <c r="BH54"/>
      <c r="BI54"/>
    </row>
    <row r="55" spans="2:69" ht="25.5" customHeight="1" x14ac:dyDescent="0.2">
      <c r="B55" s="590">
        <f>AN47+AN49</f>
        <v>0</v>
      </c>
      <c r="C55" s="468"/>
      <c r="D55" s="469"/>
      <c r="E55" s="591">
        <f>AK37</f>
        <v>0</v>
      </c>
      <c r="F55" s="468"/>
      <c r="G55" s="468"/>
      <c r="H55" s="469"/>
      <c r="I55" s="467">
        <f>L45+L47+L49</f>
        <v>0</v>
      </c>
      <c r="J55" s="468"/>
      <c r="K55" s="469"/>
      <c r="L55" s="587">
        <f>Q50</f>
        <v>0</v>
      </c>
      <c r="M55" s="588"/>
      <c r="N55" s="589"/>
      <c r="O55" s="467">
        <f>ROUND(I55*L55,2)</f>
        <v>0</v>
      </c>
      <c r="P55" s="468"/>
      <c r="Q55" s="469"/>
      <c r="R55" s="467">
        <f>ROUND((net_annuel/12)+O55,2)</f>
        <v>0</v>
      </c>
      <c r="S55" s="548"/>
      <c r="T55" s="548"/>
      <c r="U55" s="549"/>
      <c r="V55" s="467">
        <f>ROUND(IF(B55&lt;=0,0,IF(R55/B55&gt;CMG_Plafond,CMG_Plafond,R55/B55)),2)</f>
        <v>0</v>
      </c>
      <c r="W55" s="548"/>
      <c r="X55" s="549"/>
      <c r="Y55" s="467">
        <f>ROUND(V55*B55,2)</f>
        <v>0</v>
      </c>
      <c r="Z55" s="548"/>
      <c r="AA55" s="549"/>
      <c r="AB55" s="467">
        <f>CMG_Ref</f>
        <v>4.91</v>
      </c>
      <c r="AC55" s="548"/>
      <c r="AD55" s="549"/>
      <c r="AE55" s="597" t="s">
        <v>167</v>
      </c>
      <c r="AF55" s="598"/>
      <c r="AG55" s="599"/>
      <c r="AH55" s="600"/>
      <c r="AI55" s="594">
        <f>MAX(0,Y55*(1-(AG55*(VALUE(LEFT(AE55,6))/100)/AB55)))</f>
        <v>0</v>
      </c>
      <c r="AJ55" s="595"/>
      <c r="AK55" s="595"/>
      <c r="AL55" s="596"/>
      <c r="AM55" s="241">
        <f>ROUND(AI55*12,2)</f>
        <v>0</v>
      </c>
      <c r="AN55" s="241"/>
      <c r="AO55" s="241"/>
      <c r="AP55" s="583">
        <f>ROUND((R55*12)-AM55,0)</f>
        <v>0</v>
      </c>
      <c r="AQ55" s="241"/>
      <c r="AR55" s="241"/>
      <c r="AS55" s="211">
        <f>IF(AP55&gt;P_plafond_impôt,(P_plafond_impôt/2),AP55/2)</f>
        <v>0</v>
      </c>
      <c r="AT55" s="211"/>
      <c r="AU55" s="211"/>
      <c r="AV55" s="211"/>
      <c r="AW55" s="241">
        <f>MAX(0,AP55-AS55)</f>
        <v>0</v>
      </c>
      <c r="AX55" s="241"/>
      <c r="AY55" s="241"/>
      <c r="AZ55" s="583">
        <f>ROUND(AW55/12,2)</f>
        <v>0</v>
      </c>
      <c r="BA55" s="241"/>
      <c r="BB55" s="241"/>
      <c r="BC55"/>
      <c r="BD55"/>
      <c r="BE55"/>
      <c r="BF55"/>
      <c r="BG55"/>
      <c r="BH55"/>
      <c r="BI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61" t="s">
        <v>190</v>
      </c>
      <c r="AG56" s="561"/>
      <c r="AH56" s="561"/>
      <c r="AI56" s="561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  <row r="57" spans="2:69" ht="15" customHeight="1" x14ac:dyDescent="0.2">
      <c r="B57" s="184" t="s">
        <v>170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38"/>
      <c r="AX57" s="238"/>
      <c r="AY57" s="238"/>
      <c r="AZ57"/>
      <c r="BA57"/>
      <c r="BB57"/>
      <c r="BC57"/>
      <c r="BD57"/>
      <c r="BE57"/>
      <c r="BF57"/>
      <c r="BG57"/>
      <c r="BH57"/>
      <c r="BI57"/>
    </row>
    <row r="58" spans="2:69" ht="33" customHeight="1" x14ac:dyDescent="0.2">
      <c r="B58" s="445" t="s">
        <v>163</v>
      </c>
      <c r="C58" s="446"/>
      <c r="D58" s="447"/>
      <c r="E58" s="445" t="s">
        <v>171</v>
      </c>
      <c r="F58" s="446"/>
      <c r="G58" s="446"/>
      <c r="H58" s="447"/>
      <c r="I58" s="186"/>
      <c r="J58" s="445" t="s">
        <v>163</v>
      </c>
      <c r="K58" s="446"/>
      <c r="L58" s="447"/>
      <c r="M58" s="445" t="s">
        <v>171</v>
      </c>
      <c r="N58" s="446"/>
      <c r="O58" s="446"/>
      <c r="P58" s="447"/>
      <c r="Q58" s="186"/>
      <c r="R58" s="445" t="s">
        <v>163</v>
      </c>
      <c r="S58" s="446"/>
      <c r="T58" s="446"/>
      <c r="U58" s="447"/>
      <c r="V58" s="445" t="s">
        <v>171</v>
      </c>
      <c r="W58" s="446"/>
      <c r="X58" s="447"/>
      <c r="Y58" s="188"/>
      <c r="Z58" s="445" t="s">
        <v>163</v>
      </c>
      <c r="AA58" s="446"/>
      <c r="AB58" s="447"/>
      <c r="AC58" s="210" t="s">
        <v>171</v>
      </c>
      <c r="AD58" s="210"/>
      <c r="AE58" s="21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39"/>
      <c r="AQ58" s="239"/>
      <c r="AR58" s="239"/>
      <c r="AS58" s="186"/>
      <c r="AU58"/>
      <c r="AV58"/>
      <c r="AW58" s="238"/>
      <c r="AX58" s="238"/>
      <c r="AY58" s="238"/>
      <c r="AZ58"/>
      <c r="BA58"/>
      <c r="BB58"/>
      <c r="BC58"/>
      <c r="BD58"/>
      <c r="BE58"/>
      <c r="BF58"/>
      <c r="BG58"/>
      <c r="BH58"/>
      <c r="BI58"/>
    </row>
    <row r="59" spans="2:69" ht="15" customHeight="1" x14ac:dyDescent="0.2">
      <c r="B59" s="442">
        <v>500</v>
      </c>
      <c r="C59" s="443"/>
      <c r="D59" s="444"/>
      <c r="E59" s="280">
        <f t="shared" ref="E59:E65" si="0">MAX(0,$Y$55*(1-(B59*(VALUE(LEFT($AE$55,6))/100)/$AB$55)))</f>
        <v>0</v>
      </c>
      <c r="F59" s="281"/>
      <c r="G59" s="281"/>
      <c r="H59" s="282"/>
      <c r="I59" s="186"/>
      <c r="J59" s="442">
        <f>B65+250</f>
        <v>2250</v>
      </c>
      <c r="K59" s="443"/>
      <c r="L59" s="444"/>
      <c r="M59" s="280">
        <f t="shared" ref="M59:M65" si="1">MAX(0,$Y$55*(1-(J59*(VALUE(LEFT($AE$55,6))/100)/$AB$55)))</f>
        <v>0</v>
      </c>
      <c r="N59" s="281"/>
      <c r="O59" s="281"/>
      <c r="P59" s="282"/>
      <c r="Q59" s="186"/>
      <c r="R59" s="442">
        <f>J65+250</f>
        <v>4000</v>
      </c>
      <c r="S59" s="443"/>
      <c r="T59" s="443"/>
      <c r="U59" s="444"/>
      <c r="V59" s="280">
        <f t="shared" ref="V59:V65" si="2">MAX(0,$Y$55*(1-(R59*(VALUE(LEFT($AE$55,6))/100)/$AB$55)))</f>
        <v>0</v>
      </c>
      <c r="W59" s="281"/>
      <c r="X59" s="282"/>
      <c r="Y59" s="188"/>
      <c r="Z59" s="442">
        <f>R65+250</f>
        <v>5750</v>
      </c>
      <c r="AA59" s="443"/>
      <c r="AB59" s="444"/>
      <c r="AC59" s="363">
        <f t="shared" ref="AC59:AC65" si="3">MAX(0,$Y$55*(1-(Z59*(VALUE(LEFT($AE$55,6))/100)/$AB$55)))</f>
        <v>0</v>
      </c>
      <c r="AD59" s="363"/>
      <c r="AE59" s="363"/>
      <c r="AG59" s="593"/>
      <c r="AH59" s="593"/>
      <c r="AI59" s="593"/>
      <c r="AJ59" s="592"/>
      <c r="AK59" s="592"/>
      <c r="AL59" s="592"/>
      <c r="AM59" s="592"/>
      <c r="AN59" s="186"/>
      <c r="AO59" s="186"/>
      <c r="AP59" s="239"/>
      <c r="AQ59" s="239"/>
      <c r="AR59" s="239"/>
      <c r="AS59" s="209"/>
      <c r="AT59" s="209"/>
      <c r="AU59" s="209"/>
      <c r="AV59"/>
      <c r="AW59" s="238"/>
      <c r="AX59" s="238"/>
      <c r="AY59" s="238"/>
      <c r="AZ59"/>
      <c r="BA59"/>
      <c r="BB59"/>
      <c r="BC59"/>
      <c r="BD59"/>
      <c r="BE59"/>
      <c r="BF59"/>
      <c r="BG59"/>
      <c r="BH59"/>
      <c r="BI59"/>
    </row>
    <row r="60" spans="2:69" x14ac:dyDescent="0.2">
      <c r="B60" s="442">
        <f t="shared" ref="B60:B65" si="4">B59+250</f>
        <v>750</v>
      </c>
      <c r="C60" s="443"/>
      <c r="D60" s="444"/>
      <c r="E60" s="280">
        <f t="shared" si="0"/>
        <v>0</v>
      </c>
      <c r="F60" s="281"/>
      <c r="G60" s="281"/>
      <c r="H60" s="282"/>
      <c r="I60" s="186"/>
      <c r="J60" s="442">
        <f t="shared" ref="J60:J65" si="5">J59+250</f>
        <v>2500</v>
      </c>
      <c r="K60" s="443"/>
      <c r="L60" s="444"/>
      <c r="M60" s="280">
        <f t="shared" si="1"/>
        <v>0</v>
      </c>
      <c r="N60" s="281"/>
      <c r="O60" s="281"/>
      <c r="P60" s="282"/>
      <c r="Q60" s="186"/>
      <c r="R60" s="442">
        <f t="shared" ref="R60:R65" si="6">R59+250</f>
        <v>4250</v>
      </c>
      <c r="S60" s="443"/>
      <c r="T60" s="443"/>
      <c r="U60" s="444"/>
      <c r="V60" s="280">
        <f t="shared" si="2"/>
        <v>0</v>
      </c>
      <c r="W60" s="281"/>
      <c r="X60" s="282"/>
      <c r="Y60" s="188"/>
      <c r="Z60" s="442">
        <f t="shared" ref="Z60:Z65" si="7">Z59+500</f>
        <v>6250</v>
      </c>
      <c r="AA60" s="443"/>
      <c r="AB60" s="444"/>
      <c r="AC60" s="363">
        <f t="shared" si="3"/>
        <v>0</v>
      </c>
      <c r="AD60" s="363"/>
      <c r="AE60" s="363"/>
      <c r="AG60" s="186"/>
      <c r="AH60" s="186"/>
      <c r="AI60" s="186"/>
      <c r="AJ60" s="186"/>
      <c r="AK60" s="186"/>
      <c r="AL60" s="186"/>
      <c r="AM60" s="186"/>
      <c r="AN60" s="186"/>
      <c r="AO60" s="186"/>
      <c r="AP60" s="209"/>
      <c r="AQ60" s="240"/>
      <c r="AR60" s="240"/>
      <c r="AS60" s="209"/>
      <c r="AT60" s="209"/>
      <c r="AU60" s="209"/>
      <c r="AV60" s="186"/>
      <c r="AW60" s="238"/>
      <c r="AX60" s="238"/>
      <c r="AY60" s="238"/>
      <c r="AZ60" s="186"/>
      <c r="BA60" s="186"/>
      <c r="BC60"/>
      <c r="BD60" s="209"/>
      <c r="BE60" s="209"/>
      <c r="BF60" s="209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442">
        <f t="shared" si="4"/>
        <v>1000</v>
      </c>
      <c r="C61" s="443"/>
      <c r="D61" s="444"/>
      <c r="E61" s="280">
        <f t="shared" si="0"/>
        <v>0</v>
      </c>
      <c r="F61" s="281"/>
      <c r="G61" s="281"/>
      <c r="H61" s="282"/>
      <c r="I61" s="186"/>
      <c r="J61" s="442">
        <f t="shared" si="5"/>
        <v>2750</v>
      </c>
      <c r="K61" s="443"/>
      <c r="L61" s="444"/>
      <c r="M61" s="280">
        <f t="shared" si="1"/>
        <v>0</v>
      </c>
      <c r="N61" s="281"/>
      <c r="O61" s="281"/>
      <c r="P61" s="282"/>
      <c r="Q61" s="186"/>
      <c r="R61" s="442">
        <f t="shared" si="6"/>
        <v>4500</v>
      </c>
      <c r="S61" s="443"/>
      <c r="T61" s="443"/>
      <c r="U61" s="444"/>
      <c r="V61" s="280">
        <f t="shared" si="2"/>
        <v>0</v>
      </c>
      <c r="W61" s="281"/>
      <c r="X61" s="282"/>
      <c r="Y61" s="188"/>
      <c r="Z61" s="442">
        <f t="shared" si="7"/>
        <v>6750</v>
      </c>
      <c r="AA61" s="443"/>
      <c r="AB61" s="444"/>
      <c r="AC61" s="363">
        <f t="shared" si="3"/>
        <v>0</v>
      </c>
      <c r="AD61" s="363"/>
      <c r="AE61" s="363"/>
      <c r="AG61" s="186"/>
      <c r="AH61" s="186"/>
      <c r="AI61" s="186"/>
      <c r="AJ61" s="240"/>
      <c r="AK61" s="240"/>
      <c r="AL61" s="240"/>
      <c r="AM61" s="186"/>
      <c r="AN61" s="186"/>
      <c r="AO61" s="186"/>
      <c r="AP61" s="240"/>
      <c r="AQ61" s="240"/>
      <c r="AR61" s="240"/>
      <c r="AS61" s="209"/>
      <c r="AT61" s="209"/>
      <c r="AU61" s="209"/>
      <c r="AV61" s="186"/>
      <c r="AW61" s="238"/>
      <c r="AX61" s="238"/>
      <c r="AY61" s="238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442">
        <f t="shared" si="4"/>
        <v>1250</v>
      </c>
      <c r="C62" s="443"/>
      <c r="D62" s="444"/>
      <c r="E62" s="280">
        <f t="shared" si="0"/>
        <v>0</v>
      </c>
      <c r="F62" s="281"/>
      <c r="G62" s="281"/>
      <c r="H62" s="282"/>
      <c r="I62" s="186"/>
      <c r="J62" s="442">
        <f t="shared" si="5"/>
        <v>3000</v>
      </c>
      <c r="K62" s="443"/>
      <c r="L62" s="444"/>
      <c r="M62" s="280">
        <f t="shared" si="1"/>
        <v>0</v>
      </c>
      <c r="N62" s="281"/>
      <c r="O62" s="281"/>
      <c r="P62" s="282"/>
      <c r="Q62" s="186"/>
      <c r="R62" s="442">
        <f t="shared" si="6"/>
        <v>4750</v>
      </c>
      <c r="S62" s="443"/>
      <c r="T62" s="443"/>
      <c r="U62" s="444"/>
      <c r="V62" s="280">
        <f t="shared" si="2"/>
        <v>0</v>
      </c>
      <c r="W62" s="281"/>
      <c r="X62" s="282"/>
      <c r="Y62" s="188"/>
      <c r="Z62" s="442">
        <f t="shared" si="7"/>
        <v>7250</v>
      </c>
      <c r="AA62" s="443"/>
      <c r="AB62" s="444"/>
      <c r="AC62" s="363">
        <f t="shared" si="3"/>
        <v>0</v>
      </c>
      <c r="AD62" s="363"/>
      <c r="AE62" s="363"/>
      <c r="AG62" s="186"/>
      <c r="AH62" s="186"/>
      <c r="AI62" s="186"/>
      <c r="AJ62" s="240"/>
      <c r="AK62" s="240"/>
      <c r="AL62" s="240"/>
      <c r="AM62" s="186"/>
      <c r="AN62" s="186"/>
      <c r="AO62" s="186"/>
      <c r="AP62" s="240"/>
      <c r="AQ62" s="240"/>
      <c r="AR62" s="240"/>
      <c r="AS62" s="209"/>
      <c r="AT62" s="209"/>
      <c r="AU62" s="209"/>
      <c r="AV62" s="186"/>
      <c r="AW62" s="238"/>
      <c r="AX62" s="238"/>
      <c r="AY62" s="238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442">
        <f t="shared" si="4"/>
        <v>1500</v>
      </c>
      <c r="C63" s="443"/>
      <c r="D63" s="444"/>
      <c r="E63" s="280">
        <f t="shared" si="0"/>
        <v>0</v>
      </c>
      <c r="F63" s="281"/>
      <c r="G63" s="281"/>
      <c r="H63" s="282"/>
      <c r="I63" s="186"/>
      <c r="J63" s="442">
        <f t="shared" si="5"/>
        <v>3250</v>
      </c>
      <c r="K63" s="443"/>
      <c r="L63" s="444"/>
      <c r="M63" s="280">
        <f t="shared" si="1"/>
        <v>0</v>
      </c>
      <c r="N63" s="281"/>
      <c r="O63" s="281"/>
      <c r="P63" s="282"/>
      <c r="Q63" s="186"/>
      <c r="R63" s="442">
        <f t="shared" si="6"/>
        <v>5000</v>
      </c>
      <c r="S63" s="443"/>
      <c r="T63" s="443"/>
      <c r="U63" s="444"/>
      <c r="V63" s="280">
        <f t="shared" si="2"/>
        <v>0</v>
      </c>
      <c r="W63" s="281"/>
      <c r="X63" s="282"/>
      <c r="Y63" s="188"/>
      <c r="Z63" s="442">
        <f t="shared" si="7"/>
        <v>7750</v>
      </c>
      <c r="AA63" s="443"/>
      <c r="AB63" s="444"/>
      <c r="AC63" s="363">
        <f t="shared" si="3"/>
        <v>0</v>
      </c>
      <c r="AD63" s="363"/>
      <c r="AE63" s="363"/>
      <c r="AG63" s="186"/>
      <c r="AH63" s="186"/>
      <c r="AI63" s="186"/>
      <c r="AJ63" s="240"/>
      <c r="AK63" s="240"/>
      <c r="AL63" s="240"/>
      <c r="AM63" s="186"/>
      <c r="AN63" s="186"/>
      <c r="AO63" s="186"/>
      <c r="AP63" s="240"/>
      <c r="AQ63" s="240"/>
      <c r="AR63" s="240"/>
      <c r="AS63" s="209"/>
      <c r="AT63" s="209"/>
      <c r="AU63" s="209"/>
      <c r="AV63" s="186"/>
      <c r="AW63" s="238"/>
      <c r="AX63" s="238"/>
      <c r="AY63" s="238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442">
        <f t="shared" si="4"/>
        <v>1750</v>
      </c>
      <c r="C64" s="443"/>
      <c r="D64" s="444"/>
      <c r="E64" s="280">
        <f t="shared" si="0"/>
        <v>0</v>
      </c>
      <c r="F64" s="281"/>
      <c r="G64" s="281"/>
      <c r="H64" s="282"/>
      <c r="I64" s="186"/>
      <c r="J64" s="442">
        <f t="shared" si="5"/>
        <v>3500</v>
      </c>
      <c r="K64" s="443"/>
      <c r="L64" s="444"/>
      <c r="M64" s="280">
        <f t="shared" si="1"/>
        <v>0</v>
      </c>
      <c r="N64" s="281"/>
      <c r="O64" s="281"/>
      <c r="P64" s="282"/>
      <c r="Q64" s="186"/>
      <c r="R64" s="442">
        <f t="shared" si="6"/>
        <v>5250</v>
      </c>
      <c r="S64" s="443"/>
      <c r="T64" s="443"/>
      <c r="U64" s="444"/>
      <c r="V64" s="280">
        <f t="shared" si="2"/>
        <v>0</v>
      </c>
      <c r="W64" s="281"/>
      <c r="X64" s="282"/>
      <c r="Y64" s="188"/>
      <c r="Z64" s="442">
        <f t="shared" si="7"/>
        <v>8250</v>
      </c>
      <c r="AA64" s="443"/>
      <c r="AB64" s="444"/>
      <c r="AC64" s="363">
        <f t="shared" si="3"/>
        <v>0</v>
      </c>
      <c r="AD64" s="363"/>
      <c r="AE64" s="363"/>
      <c r="AG64" s="186"/>
      <c r="AH64" s="186"/>
      <c r="AI64" s="186"/>
      <c r="AJ64" s="240"/>
      <c r="AK64" s="240"/>
      <c r="AL64" s="240"/>
      <c r="AM64" s="186"/>
      <c r="AN64" s="186"/>
      <c r="AO64" s="186"/>
      <c r="AP64" s="240"/>
      <c r="AQ64" s="240"/>
      <c r="AR64" s="240"/>
      <c r="AS64" s="209"/>
      <c r="AT64" s="209"/>
      <c r="AU64" s="209"/>
      <c r="AV64" s="186"/>
      <c r="AW64" s="238"/>
      <c r="AX64" s="238"/>
      <c r="AY64" s="238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442">
        <f t="shared" si="4"/>
        <v>2000</v>
      </c>
      <c r="C65" s="443"/>
      <c r="D65" s="444"/>
      <c r="E65" s="280">
        <f t="shared" si="0"/>
        <v>0</v>
      </c>
      <c r="F65" s="281"/>
      <c r="G65" s="281"/>
      <c r="H65" s="282"/>
      <c r="I65" s="186"/>
      <c r="J65" s="442">
        <f t="shared" si="5"/>
        <v>3750</v>
      </c>
      <c r="K65" s="443"/>
      <c r="L65" s="444"/>
      <c r="M65" s="280">
        <f t="shared" si="1"/>
        <v>0</v>
      </c>
      <c r="N65" s="281"/>
      <c r="O65" s="281"/>
      <c r="P65" s="282"/>
      <c r="Q65" s="186"/>
      <c r="R65" s="442">
        <f t="shared" si="6"/>
        <v>5500</v>
      </c>
      <c r="S65" s="443"/>
      <c r="T65" s="443"/>
      <c r="U65" s="444"/>
      <c r="V65" s="280">
        <f t="shared" si="2"/>
        <v>0</v>
      </c>
      <c r="W65" s="281"/>
      <c r="X65" s="282"/>
      <c r="Y65" s="188"/>
      <c r="Z65" s="442">
        <f t="shared" si="7"/>
        <v>8750</v>
      </c>
      <c r="AA65" s="443"/>
      <c r="AB65" s="444"/>
      <c r="AC65" s="363">
        <f t="shared" si="3"/>
        <v>0</v>
      </c>
      <c r="AD65" s="363"/>
      <c r="AE65" s="363"/>
      <c r="AG65" s="186"/>
      <c r="AH65" s="186"/>
      <c r="AI65" s="186"/>
      <c r="AJ65" s="240"/>
      <c r="AK65" s="240"/>
      <c r="AL65" s="240"/>
      <c r="AM65" s="186"/>
      <c r="AN65" s="186"/>
      <c r="AO65" s="186"/>
      <c r="AP65" s="240"/>
      <c r="AQ65" s="240"/>
      <c r="AR65" s="240"/>
      <c r="AS65" s="209"/>
      <c r="AT65" s="209"/>
      <c r="AU65" s="20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186</v>
      </c>
      <c r="C67" s="192"/>
      <c r="D67" s="192"/>
      <c r="E67" s="192"/>
      <c r="F67" s="192"/>
      <c r="G67" s="192"/>
      <c r="H67" s="192"/>
      <c r="I67" s="192"/>
      <c r="J67" s="193"/>
      <c r="K67" s="441" t="s">
        <v>185</v>
      </c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187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78" t="s">
        <v>188</v>
      </c>
      <c r="C72" s="578"/>
      <c r="D72" s="578"/>
      <c r="E72" s="578"/>
      <c r="F72" s="578"/>
      <c r="G72" s="578"/>
      <c r="H72" s="578"/>
      <c r="I72" s="578"/>
      <c r="J72" s="578"/>
      <c r="K72" s="578"/>
      <c r="L72" s="578"/>
      <c r="M72" s="578"/>
      <c r="N72" s="578"/>
      <c r="O72" s="578"/>
      <c r="P72" s="578"/>
      <c r="Q72" s="578"/>
      <c r="R72" s="578"/>
      <c r="S72" s="578"/>
      <c r="T72" s="578"/>
      <c r="U72" s="578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504" t="str">
        <f>Sources!H33</f>
        <v>Ressources annuelles 2023*
Jusqu’au 31/12/2025</v>
      </c>
      <c r="C73" s="505"/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5"/>
      <c r="S73" s="506"/>
      <c r="T73" s="451" t="s">
        <v>129</v>
      </c>
      <c r="U73" s="451"/>
      <c r="V73" s="451"/>
      <c r="W73" s="451"/>
      <c r="X73" s="451"/>
      <c r="Y73" s="451"/>
      <c r="Z73" s="451"/>
      <c r="AA73" s="451"/>
      <c r="AB73" s="505" t="s">
        <v>49</v>
      </c>
      <c r="AC73" s="505"/>
      <c r="AD73" s="505"/>
      <c r="AE73" s="506"/>
      <c r="AF73" s="348" t="s">
        <v>128</v>
      </c>
      <c r="AG73" s="349"/>
      <c r="AH73" s="349"/>
      <c r="AI73" s="349"/>
      <c r="AJ73" s="350"/>
      <c r="AK73" s="70"/>
      <c r="AL73" s="562" t="s">
        <v>127</v>
      </c>
      <c r="AM73" s="563"/>
      <c r="AN73" s="564"/>
      <c r="AO73" s="552" t="s">
        <v>33</v>
      </c>
      <c r="AP73" s="553"/>
      <c r="AQ73" s="554"/>
      <c r="AR73" s="552" t="s">
        <v>131</v>
      </c>
      <c r="AS73" s="553"/>
      <c r="AT73" s="553"/>
      <c r="AU73" s="553"/>
      <c r="AV73" s="553"/>
      <c r="AW73" s="553"/>
      <c r="AX73" s="554"/>
      <c r="AY73" s="542" t="s">
        <v>130</v>
      </c>
      <c r="AZ73" s="542"/>
      <c r="BA73" s="54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27"/>
      <c r="C74" s="428"/>
      <c r="D74" s="428"/>
      <c r="E74" s="428"/>
      <c r="F74" s="153"/>
      <c r="G74" s="153"/>
      <c r="H74" s="426" t="s">
        <v>21</v>
      </c>
      <c r="I74" s="426"/>
      <c r="J74" s="426"/>
      <c r="K74" s="426" t="s">
        <v>22</v>
      </c>
      <c r="L74" s="426"/>
      <c r="M74" s="426"/>
      <c r="N74" s="450" t="s">
        <v>23</v>
      </c>
      <c r="O74" s="450"/>
      <c r="P74" s="450"/>
      <c r="Q74" s="451" t="s">
        <v>124</v>
      </c>
      <c r="R74" s="451"/>
      <c r="S74" s="451"/>
      <c r="T74" s="451"/>
      <c r="U74" s="451"/>
      <c r="V74" s="451"/>
      <c r="W74" s="451"/>
      <c r="X74" s="451"/>
      <c r="Y74" s="451"/>
      <c r="Z74" s="451"/>
      <c r="AA74" s="451"/>
      <c r="AB74" s="428"/>
      <c r="AC74" s="428"/>
      <c r="AD74" s="428"/>
      <c r="AE74" s="550"/>
      <c r="AF74" s="351"/>
      <c r="AG74" s="352"/>
      <c r="AH74" s="352"/>
      <c r="AI74" s="352"/>
      <c r="AJ74" s="353"/>
      <c r="AK74" s="70"/>
      <c r="AL74" s="565"/>
      <c r="AM74" s="566"/>
      <c r="AN74" s="567"/>
      <c r="AO74" s="555"/>
      <c r="AP74" s="556"/>
      <c r="AQ74" s="557"/>
      <c r="AR74" s="555"/>
      <c r="AS74" s="556"/>
      <c r="AT74" s="556"/>
      <c r="AU74" s="556"/>
      <c r="AV74" s="556"/>
      <c r="AW74" s="556"/>
      <c r="AX74" s="557"/>
      <c r="AY74" s="544"/>
      <c r="AZ74" s="544"/>
      <c r="BA74" s="545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29"/>
      <c r="C75" s="430"/>
      <c r="D75" s="430"/>
      <c r="E75" s="430"/>
      <c r="F75" s="154"/>
      <c r="G75" s="154"/>
      <c r="H75" s="426"/>
      <c r="I75" s="426"/>
      <c r="J75" s="426"/>
      <c r="K75" s="426"/>
      <c r="L75" s="426"/>
      <c r="M75" s="426"/>
      <c r="N75" s="450"/>
      <c r="O75" s="450"/>
      <c r="P75" s="450"/>
      <c r="Q75" s="451"/>
      <c r="R75" s="451"/>
      <c r="S75" s="451"/>
      <c r="T75" s="451"/>
      <c r="U75" s="451"/>
      <c r="V75" s="451"/>
      <c r="W75" s="451"/>
      <c r="X75" s="451"/>
      <c r="Y75" s="451"/>
      <c r="Z75" s="451"/>
      <c r="AA75" s="451"/>
      <c r="AB75" s="430"/>
      <c r="AC75" s="430"/>
      <c r="AD75" s="430"/>
      <c r="AE75" s="551"/>
      <c r="AF75" s="354"/>
      <c r="AG75" s="355"/>
      <c r="AH75" s="355"/>
      <c r="AI75" s="355"/>
      <c r="AJ75" s="356"/>
      <c r="AK75" s="70"/>
      <c r="AL75" s="568"/>
      <c r="AM75" s="569"/>
      <c r="AN75" s="570"/>
      <c r="AO75" s="558"/>
      <c r="AP75" s="559"/>
      <c r="AQ75" s="560"/>
      <c r="AR75" s="558"/>
      <c r="AS75" s="559"/>
      <c r="AT75" s="559"/>
      <c r="AU75" s="559"/>
      <c r="AV75" s="559"/>
      <c r="AW75" s="559"/>
      <c r="AX75" s="560"/>
      <c r="AY75" s="546"/>
      <c r="AZ75" s="546"/>
      <c r="BA75" s="547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tr">
        <f>"Plafond de ressources"</f>
        <v>Plafond de ressources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77" t="s">
        <v>120</v>
      </c>
      <c r="C78" s="478"/>
      <c r="D78" s="478"/>
      <c r="E78" s="478"/>
      <c r="F78" s="478"/>
      <c r="G78" s="479"/>
      <c r="H78" s="483">
        <f>Sources!N45</f>
        <v>21332</v>
      </c>
      <c r="I78" s="484"/>
      <c r="J78" s="485"/>
      <c r="K78" s="463">
        <f>Sources!Q45</f>
        <v>24561</v>
      </c>
      <c r="L78" s="463"/>
      <c r="M78" s="463"/>
      <c r="N78" s="416">
        <f>Sources!T45</f>
        <v>28435</v>
      </c>
      <c r="O78" s="416"/>
      <c r="P78" s="416"/>
      <c r="Q78" s="457">
        <f>Sources!Z45</f>
        <v>32309</v>
      </c>
      <c r="R78" s="458"/>
      <c r="S78" s="459"/>
      <c r="T78" s="472" t="s">
        <v>107</v>
      </c>
      <c r="U78" s="473"/>
      <c r="V78" s="473"/>
      <c r="W78" s="473"/>
      <c r="X78" s="414">
        <f>Sources!$AE$45</f>
        <v>468.82</v>
      </c>
      <c r="Y78" s="415"/>
      <c r="Z78" s="415"/>
      <c r="AA78" s="415"/>
      <c r="AB78" s="413">
        <f>$X$78*12</f>
        <v>5625.84</v>
      </c>
      <c r="AC78" s="413"/>
      <c r="AD78" s="413"/>
      <c r="AE78" s="413"/>
      <c r="AF78" s="405" t="e">
        <f>IF(((net_annuel+IE_annuelles)*0.15)&gt;((net_annuel+IE_annuelles)-$AB$78),((net_annuel+IE_annuelles)*0.15),net_annuel+IE_annuelles-$AB$78)</f>
        <v>#DIV/0!</v>
      </c>
      <c r="AG78" s="405"/>
      <c r="AH78" s="405"/>
      <c r="AI78" s="405"/>
      <c r="AJ78" s="405"/>
      <c r="AK78" s="158"/>
      <c r="AL78" s="405" t="e">
        <f>IF($AF$78&gt;P_plafond_impôt,(P_plafond_impôt/2),$AF$78/2)</f>
        <v>#DIV/0!</v>
      </c>
      <c r="AM78" s="405"/>
      <c r="AN78" s="405"/>
      <c r="AO78" s="405" t="e">
        <f>$AF$78-$AL$78</f>
        <v>#DIV/0!</v>
      </c>
      <c r="AP78" s="405"/>
      <c r="AQ78" s="405"/>
      <c r="AR78" s="410" t="e">
        <f>SUM($AO$78+((($L$45-IE_CCN)*AC26*AW26)+$Q$49+$Q$47))/12</f>
        <v>#DIV/0!</v>
      </c>
      <c r="AS78" s="411"/>
      <c r="AT78" s="411"/>
      <c r="AU78" s="411"/>
      <c r="AV78" s="411"/>
      <c r="AW78" s="411"/>
      <c r="AX78" s="411"/>
      <c r="AY78" s="404" t="e">
        <f>$AO$78/12</f>
        <v>#DIV/0!</v>
      </c>
      <c r="AZ78" s="404"/>
      <c r="BA78" s="404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80"/>
      <c r="C79" s="481"/>
      <c r="D79" s="481"/>
      <c r="E79" s="481"/>
      <c r="F79" s="481"/>
      <c r="G79" s="482"/>
      <c r="H79" s="486"/>
      <c r="I79" s="487"/>
      <c r="J79" s="488"/>
      <c r="K79" s="463"/>
      <c r="L79" s="463"/>
      <c r="M79" s="463"/>
      <c r="N79" s="416"/>
      <c r="O79" s="416"/>
      <c r="P79" s="416"/>
      <c r="Q79" s="460"/>
      <c r="R79" s="461"/>
      <c r="S79" s="462"/>
      <c r="T79" s="464" t="s">
        <v>108</v>
      </c>
      <c r="U79" s="464"/>
      <c r="V79" s="464"/>
      <c r="W79" s="464"/>
      <c r="X79" s="419">
        <f>Sources!$AE$46</f>
        <v>234.41</v>
      </c>
      <c r="Y79" s="420"/>
      <c r="Z79" s="420"/>
      <c r="AA79" s="420"/>
      <c r="AB79" s="417">
        <f>$X$79*12</f>
        <v>2812.92</v>
      </c>
      <c r="AC79" s="417"/>
      <c r="AD79" s="417"/>
      <c r="AE79" s="417"/>
      <c r="AF79" s="403" t="e">
        <f>IF(((net_annuel+IE_annuelles)*0.15)&gt;((net_annuel+IE_annuelles)-$AB$79),((net_annuel+IE_annuelles)*0.15),net_annuel+IE_annuelles-$AB$79)</f>
        <v>#DIV/0!</v>
      </c>
      <c r="AG79" s="403"/>
      <c r="AH79" s="403"/>
      <c r="AI79" s="403"/>
      <c r="AJ79" s="403"/>
      <c r="AK79" s="157"/>
      <c r="AL79" s="403" t="e">
        <f>IF($AF$79&gt;P_plafond_impôt,(P_plafond_impôt/2),$AF$79/2)</f>
        <v>#DIV/0!</v>
      </c>
      <c r="AM79" s="403"/>
      <c r="AN79" s="403"/>
      <c r="AO79" s="403" t="e">
        <f>$AF$79-$AL$79</f>
        <v>#DIV/0!</v>
      </c>
      <c r="AP79" s="403"/>
      <c r="AQ79" s="403"/>
      <c r="AR79" s="406" t="e">
        <f>SUM($AO$79+((($L$45-IE_CCN)*AC26*AW26)+$Q$49+$Q$47))/12</f>
        <v>#DIV/0!</v>
      </c>
      <c r="AS79" s="407"/>
      <c r="AT79" s="407"/>
      <c r="AU79" s="407"/>
      <c r="AV79" s="407"/>
      <c r="AW79" s="407"/>
      <c r="AX79" s="407"/>
      <c r="AY79" s="403" t="e">
        <f>$AO$79/12</f>
        <v>#DIV/0!</v>
      </c>
      <c r="AZ79" s="403"/>
      <c r="BA79" s="403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507" t="s">
        <v>121</v>
      </c>
      <c r="C81" s="508"/>
      <c r="D81" s="508"/>
      <c r="E81" s="508"/>
      <c r="F81" s="508"/>
      <c r="G81" s="509"/>
      <c r="H81" s="463">
        <f>Sources!N63</f>
        <v>47405</v>
      </c>
      <c r="I81" s="463"/>
      <c r="J81" s="463"/>
      <c r="K81" s="463">
        <f>Sources!Q63</f>
        <v>54579</v>
      </c>
      <c r="L81" s="463"/>
      <c r="M81" s="463"/>
      <c r="N81" s="416">
        <f>Sources!T63</f>
        <v>63188</v>
      </c>
      <c r="O81" s="416"/>
      <c r="P81" s="416"/>
      <c r="Q81" s="457">
        <f>Sources!Z63</f>
        <v>71797</v>
      </c>
      <c r="R81" s="458"/>
      <c r="S81" s="459"/>
      <c r="T81" s="472" t="s">
        <v>107</v>
      </c>
      <c r="U81" s="473"/>
      <c r="V81" s="473"/>
      <c r="W81" s="473"/>
      <c r="X81" s="414">
        <f>Sources!$AE$63</f>
        <v>295.62</v>
      </c>
      <c r="Y81" s="415"/>
      <c r="Z81" s="415"/>
      <c r="AA81" s="415"/>
      <c r="AB81" s="413">
        <f>$X$81*12</f>
        <v>3547.44</v>
      </c>
      <c r="AC81" s="413"/>
      <c r="AD81" s="413"/>
      <c r="AE81" s="413"/>
      <c r="AF81" s="412" t="e">
        <f>IF(((net_annuel+IE_annuelles)*0.15)&gt;((net_annuel+IE_annuelles)-$AB$81),((net_annuel+IE_annuelles)*0.15),net_annuel+IE_annuelles-$AB$81)</f>
        <v>#DIV/0!</v>
      </c>
      <c r="AG81" s="412"/>
      <c r="AH81" s="412"/>
      <c r="AI81" s="412"/>
      <c r="AJ81" s="412"/>
      <c r="AK81" s="159"/>
      <c r="AL81" s="412" t="e">
        <f>IF($AF$81&gt;P_plafond_impôt,(P_plafond_impôt/2),$AF$81/2)</f>
        <v>#DIV/0!</v>
      </c>
      <c r="AM81" s="412"/>
      <c r="AN81" s="412"/>
      <c r="AO81" s="412" t="e">
        <f>$AF$81-$AL$81</f>
        <v>#DIV/0!</v>
      </c>
      <c r="AP81" s="412"/>
      <c r="AQ81" s="412"/>
      <c r="AR81" s="408" t="e">
        <f>SUM($AO$81+((($L$45-IE_CCN)*AC26*AW26)+$Q$49+$Q$47))/12</f>
        <v>#DIV/0!</v>
      </c>
      <c r="AS81" s="409"/>
      <c r="AT81" s="409"/>
      <c r="AU81" s="409"/>
      <c r="AV81" s="409"/>
      <c r="AW81" s="409"/>
      <c r="AX81" s="409"/>
      <c r="AY81" s="404" t="e">
        <f>$AO$81/12</f>
        <v>#DIV/0!</v>
      </c>
      <c r="AZ81" s="404"/>
      <c r="BA81" s="404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510"/>
      <c r="C82" s="511"/>
      <c r="D82" s="511"/>
      <c r="E82" s="511"/>
      <c r="F82" s="511"/>
      <c r="G82" s="512"/>
      <c r="H82" s="463"/>
      <c r="I82" s="463"/>
      <c r="J82" s="463"/>
      <c r="K82" s="463"/>
      <c r="L82" s="463"/>
      <c r="M82" s="463"/>
      <c r="N82" s="416"/>
      <c r="O82" s="416"/>
      <c r="P82" s="416"/>
      <c r="Q82" s="460"/>
      <c r="R82" s="461"/>
      <c r="S82" s="462"/>
      <c r="T82" s="464" t="s">
        <v>108</v>
      </c>
      <c r="U82" s="464"/>
      <c r="V82" s="464"/>
      <c r="W82" s="464"/>
      <c r="X82" s="419">
        <f>Sources!$AE$64</f>
        <v>147.83000000000001</v>
      </c>
      <c r="Y82" s="420"/>
      <c r="Z82" s="420"/>
      <c r="AA82" s="420"/>
      <c r="AB82" s="417">
        <f>$X$82*12</f>
        <v>1773.96</v>
      </c>
      <c r="AC82" s="417"/>
      <c r="AD82" s="417"/>
      <c r="AE82" s="417"/>
      <c r="AF82" s="403" t="e">
        <f>IF(((net_annuel+IE_annuelles)*0.15)&gt;((net_annuel+IE_annuelles)-$AB$82),((net_annuel+IE_annuelles)*0.15),net_annuel+IE_annuelles-$AB$82)</f>
        <v>#DIV/0!</v>
      </c>
      <c r="AG82" s="403"/>
      <c r="AH82" s="403"/>
      <c r="AI82" s="403"/>
      <c r="AJ82" s="403"/>
      <c r="AK82" s="160"/>
      <c r="AL82" s="403" t="e">
        <f>IF($AF$82&gt;P_plafond_impôt,(P_plafond_impôt/2),$AF$82/2)</f>
        <v>#DIV/0!</v>
      </c>
      <c r="AM82" s="403"/>
      <c r="AN82" s="403"/>
      <c r="AO82" s="403" t="e">
        <f>$AF$82-$AL$82</f>
        <v>#DIV/0!</v>
      </c>
      <c r="AP82" s="403"/>
      <c r="AQ82" s="403"/>
      <c r="AR82" s="406" t="e">
        <f>SUM($AO$82+((($L$45-IE_CCN)*AC26*AW26)+$Q$49+$Q$47))/12</f>
        <v>#DIV/0!</v>
      </c>
      <c r="AS82" s="407"/>
      <c r="AT82" s="407"/>
      <c r="AU82" s="407"/>
      <c r="AV82" s="407"/>
      <c r="AW82" s="407"/>
      <c r="AX82" s="407"/>
      <c r="AY82" s="403" t="e">
        <f>$AO$82/12</f>
        <v>#DIV/0!</v>
      </c>
      <c r="AZ82" s="403"/>
      <c r="BA82" s="403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77" t="s">
        <v>122</v>
      </c>
      <c r="C84" s="478"/>
      <c r="D84" s="478"/>
      <c r="E84" s="478"/>
      <c r="F84" s="478"/>
      <c r="G84" s="479"/>
      <c r="H84" s="463">
        <f>Sources!N71</f>
        <v>47405</v>
      </c>
      <c r="I84" s="463"/>
      <c r="J84" s="463"/>
      <c r="K84" s="463">
        <f>Sources!Q71</f>
        <v>54579</v>
      </c>
      <c r="L84" s="463"/>
      <c r="M84" s="463"/>
      <c r="N84" s="416">
        <f>Sources!T71</f>
        <v>63188</v>
      </c>
      <c r="O84" s="416"/>
      <c r="P84" s="416"/>
      <c r="Q84" s="457">
        <f>Sources!Z71</f>
        <v>71797</v>
      </c>
      <c r="R84" s="458"/>
      <c r="S84" s="459"/>
      <c r="T84" s="470" t="s">
        <v>107</v>
      </c>
      <c r="U84" s="471"/>
      <c r="V84" s="471"/>
      <c r="W84" s="471"/>
      <c r="X84" s="421">
        <f>Sources!$AE$71</f>
        <v>177.35</v>
      </c>
      <c r="Y84" s="422"/>
      <c r="Z84" s="422"/>
      <c r="AA84" s="422"/>
      <c r="AB84" s="418">
        <f>$X$84*12</f>
        <v>2128.1999999999998</v>
      </c>
      <c r="AC84" s="418"/>
      <c r="AD84" s="418"/>
      <c r="AE84" s="418"/>
      <c r="AF84" s="405" t="e">
        <f>IF(((net_annuel+IE_annuelles)*0.15)&gt;((net_annuel+IE_annuelles)-$AB$84),((net_annuel+IE_annuelles)*0.15),net_annuel+IE_annuelles-$AB$84)</f>
        <v>#DIV/0!</v>
      </c>
      <c r="AG84" s="405"/>
      <c r="AH84" s="405"/>
      <c r="AI84" s="405"/>
      <c r="AJ84" s="405"/>
      <c r="AK84" s="158"/>
      <c r="AL84" s="405" t="e">
        <f>IF($AF$84&gt;P_plafond_impôt,(P_plafond_impôt/2),$AF$84/2)</f>
        <v>#DIV/0!</v>
      </c>
      <c r="AM84" s="405"/>
      <c r="AN84" s="405"/>
      <c r="AO84" s="405" t="e">
        <f>$AF$84-$AL$84</f>
        <v>#DIV/0!</v>
      </c>
      <c r="AP84" s="405"/>
      <c r="AQ84" s="405"/>
      <c r="AR84" s="410" t="e">
        <f>SUM($AO$84+((($L$45-IE_CCN)*AC26*AW26)+$Q$49+$Q$47))/12</f>
        <v>#DIV/0!</v>
      </c>
      <c r="AS84" s="411"/>
      <c r="AT84" s="411"/>
      <c r="AU84" s="411"/>
      <c r="AV84" s="411"/>
      <c r="AW84" s="411"/>
      <c r="AX84" s="411"/>
      <c r="AY84" s="404" t="e">
        <f>$AO$84/12</f>
        <v>#DIV/0!</v>
      </c>
      <c r="AZ84" s="404"/>
      <c r="BA84" s="404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80"/>
      <c r="C85" s="481"/>
      <c r="D85" s="481"/>
      <c r="E85" s="481"/>
      <c r="F85" s="481"/>
      <c r="G85" s="482"/>
      <c r="H85" s="463"/>
      <c r="I85" s="463"/>
      <c r="J85" s="463"/>
      <c r="K85" s="463"/>
      <c r="L85" s="463"/>
      <c r="M85" s="463"/>
      <c r="N85" s="416"/>
      <c r="O85" s="416"/>
      <c r="P85" s="416"/>
      <c r="Q85" s="460"/>
      <c r="R85" s="461"/>
      <c r="S85" s="462"/>
      <c r="T85" s="464" t="s">
        <v>108</v>
      </c>
      <c r="U85" s="464"/>
      <c r="V85" s="464"/>
      <c r="W85" s="464"/>
      <c r="X85" s="419">
        <f>Sources!$AE$72</f>
        <v>88.68</v>
      </c>
      <c r="Y85" s="420"/>
      <c r="Z85" s="420"/>
      <c r="AA85" s="420"/>
      <c r="AB85" s="417">
        <f>$X$85*12</f>
        <v>1064.1600000000001</v>
      </c>
      <c r="AC85" s="417"/>
      <c r="AD85" s="417"/>
      <c r="AE85" s="417"/>
      <c r="AF85" s="403" t="e">
        <f>IF(((net_annuel+IE_annuelles)*0.15)&gt;((net_annuel+IE_annuelles)-$AB$85),((net_annuel+IE_annuelles)*0.15),net_annuel+IE_annuelles-$AB$85)</f>
        <v>#DIV/0!</v>
      </c>
      <c r="AG85" s="403"/>
      <c r="AH85" s="403"/>
      <c r="AI85" s="403"/>
      <c r="AJ85" s="403"/>
      <c r="AK85" s="157"/>
      <c r="AL85" s="403" t="e">
        <f>IF($AF$85&gt;P_plafond_impôt,(P_plafond_impôt/2),$AF$85/2)</f>
        <v>#DIV/0!</v>
      </c>
      <c r="AM85" s="403"/>
      <c r="AN85" s="403"/>
      <c r="AO85" s="403" t="e">
        <f>$AF$85-$AL$85</f>
        <v>#DIV/0!</v>
      </c>
      <c r="AP85" s="403"/>
      <c r="AQ85" s="403"/>
      <c r="AR85" s="406" t="e">
        <f>SUM($AO$85+((($L$45-IE_CCN)*AC26*AW26)+$Q$49+$Q$47))/12</f>
        <v>#DIV/0!</v>
      </c>
      <c r="AS85" s="407"/>
      <c r="AT85" s="407"/>
      <c r="AU85" s="407"/>
      <c r="AV85" s="407"/>
      <c r="AW85" s="407"/>
      <c r="AX85" s="407"/>
      <c r="AY85" s="403" t="e">
        <f>$AO$85/12</f>
        <v>#DIV/0!</v>
      </c>
      <c r="AZ85" s="403"/>
      <c r="BA85" s="403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71" t="s">
        <v>155</v>
      </c>
      <c r="M87" s="571"/>
      <c r="N87" s="571"/>
      <c r="O87" s="571"/>
      <c r="P87" s="571"/>
      <c r="Q87" s="571"/>
      <c r="R87" s="571"/>
      <c r="S87" s="571"/>
      <c r="T87" s="571"/>
      <c r="U87" s="571"/>
      <c r="V87" s="571"/>
      <c r="W87" s="571"/>
      <c r="X87" s="571"/>
      <c r="Y87" s="571"/>
      <c r="Z87" s="571"/>
      <c r="AA87" s="571"/>
      <c r="AB87" s="571"/>
      <c r="AC87" s="571"/>
      <c r="AD87" s="571"/>
      <c r="AE87" s="571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</row>
  </sheetData>
  <sheetProtection algorithmName="SHA-512" hashValue="8dguiXAAGFgxxL7fcIcUuj0847QRgj3Uw28eM4gjwy82ERe5+hdWylE2opxvCqMvt+NVXQly1JODS/ere2m4sQ==" saltValue="TbOEPeobW85QxmUFJjCEHQ==" spinCount="100000" sheet="1" selectLockedCells="1"/>
  <mergeCells count="404">
    <mergeCell ref="R59:U59"/>
    <mergeCell ref="V59:X59"/>
    <mergeCell ref="AC58:AE58"/>
    <mergeCell ref="AC59:AE59"/>
    <mergeCell ref="AC60:AE60"/>
    <mergeCell ref="AC61:AE61"/>
    <mergeCell ref="R63:U63"/>
    <mergeCell ref="AC65:AE65"/>
    <mergeCell ref="Z64:AB64"/>
    <mergeCell ref="V61:X61"/>
    <mergeCell ref="R64:U64"/>
    <mergeCell ref="V64:X64"/>
    <mergeCell ref="R60:U60"/>
    <mergeCell ref="V60:X60"/>
    <mergeCell ref="R61:U61"/>
    <mergeCell ref="BD60:BF60"/>
    <mergeCell ref="I54:K54"/>
    <mergeCell ref="Y55:AA55"/>
    <mergeCell ref="AZ54:BB54"/>
    <mergeCell ref="AZ55:BB55"/>
    <mergeCell ref="AJ59:AM59"/>
    <mergeCell ref="AP59:AR59"/>
    <mergeCell ref="AG59:AI59"/>
    <mergeCell ref="V54:X54"/>
    <mergeCell ref="AI55:AL55"/>
    <mergeCell ref="AE55:AF55"/>
    <mergeCell ref="R54:U54"/>
    <mergeCell ref="R55:U55"/>
    <mergeCell ref="J59:L59"/>
    <mergeCell ref="M59:P59"/>
    <mergeCell ref="J60:L60"/>
    <mergeCell ref="M60:P60"/>
    <mergeCell ref="AE54:AF54"/>
    <mergeCell ref="AG54:AH54"/>
    <mergeCell ref="AG55:AH55"/>
    <mergeCell ref="AM54:AO54"/>
    <mergeCell ref="AM55:AO55"/>
    <mergeCell ref="I55:K55"/>
    <mergeCell ref="L54:N54"/>
    <mergeCell ref="AP55:AR55"/>
    <mergeCell ref="AI54:AL54"/>
    <mergeCell ref="E64:H64"/>
    <mergeCell ref="E65:H65"/>
    <mergeCell ref="J61:L61"/>
    <mergeCell ref="B62:D62"/>
    <mergeCell ref="B63:D63"/>
    <mergeCell ref="B64:D64"/>
    <mergeCell ref="E61:H61"/>
    <mergeCell ref="J62:L62"/>
    <mergeCell ref="J63:L63"/>
    <mergeCell ref="J65:L65"/>
    <mergeCell ref="J64:L64"/>
    <mergeCell ref="AP54:AR54"/>
    <mergeCell ref="Z62:AB62"/>
    <mergeCell ref="Z63:AB63"/>
    <mergeCell ref="V63:X63"/>
    <mergeCell ref="B58:D58"/>
    <mergeCell ref="L55:N55"/>
    <mergeCell ref="E54:H54"/>
    <mergeCell ref="B55:D55"/>
    <mergeCell ref="E55:H55"/>
    <mergeCell ref="B54:D54"/>
    <mergeCell ref="E58:H58"/>
    <mergeCell ref="L87:AQ87"/>
    <mergeCell ref="N22:P23"/>
    <mergeCell ref="H32:J35"/>
    <mergeCell ref="B37:G38"/>
    <mergeCell ref="K37:K38"/>
    <mergeCell ref="G18:G19"/>
    <mergeCell ref="G20:G21"/>
    <mergeCell ref="B18:F19"/>
    <mergeCell ref="B20:F21"/>
    <mergeCell ref="B22:F23"/>
    <mergeCell ref="N18:P19"/>
    <mergeCell ref="H20:J21"/>
    <mergeCell ref="AC24:AD25"/>
    <mergeCell ref="W20:Y21"/>
    <mergeCell ref="AC18:AD19"/>
    <mergeCell ref="Q18:S19"/>
    <mergeCell ref="Z18:AB19"/>
    <mergeCell ref="B72:U72"/>
    <mergeCell ref="V55:X55"/>
    <mergeCell ref="Y54:AA54"/>
    <mergeCell ref="AB54:AD54"/>
    <mergeCell ref="P37:Q38"/>
    <mergeCell ref="L40:N41"/>
    <mergeCell ref="H84:J85"/>
    <mergeCell ref="AY73:BA75"/>
    <mergeCell ref="AB55:AD55"/>
    <mergeCell ref="AJ64:AL64"/>
    <mergeCell ref="M61:P61"/>
    <mergeCell ref="M62:P62"/>
    <mergeCell ref="M63:P63"/>
    <mergeCell ref="R62:U62"/>
    <mergeCell ref="V62:X62"/>
    <mergeCell ref="AS65:AU65"/>
    <mergeCell ref="AJ65:AL65"/>
    <mergeCell ref="AP63:AR63"/>
    <mergeCell ref="AP64:AR64"/>
    <mergeCell ref="AP65:AR65"/>
    <mergeCell ref="AJ61:AL61"/>
    <mergeCell ref="AJ62:AL62"/>
    <mergeCell ref="AJ63:AL63"/>
    <mergeCell ref="AB73:AE75"/>
    <mergeCell ref="AR73:AX75"/>
    <mergeCell ref="AO73:AQ75"/>
    <mergeCell ref="M65:P65"/>
    <mergeCell ref="Z65:AB65"/>
    <mergeCell ref="AF56:AI56"/>
    <mergeCell ref="M64:P64"/>
    <mergeCell ref="AL73:AN75"/>
    <mergeCell ref="W14:Y14"/>
    <mergeCell ref="A1:AT1"/>
    <mergeCell ref="AU1:AX1"/>
    <mergeCell ref="AE22:AG23"/>
    <mergeCell ref="AP14:AV16"/>
    <mergeCell ref="AC20:AD21"/>
    <mergeCell ref="AC22:AD23"/>
    <mergeCell ref="AI22:AK23"/>
    <mergeCell ref="AW22:BB24"/>
    <mergeCell ref="K24:M25"/>
    <mergeCell ref="H24:J25"/>
    <mergeCell ref="Z22:AB23"/>
    <mergeCell ref="J3:AO3"/>
    <mergeCell ref="AE8:AM8"/>
    <mergeCell ref="AP10:BB10"/>
    <mergeCell ref="J10:Y10"/>
    <mergeCell ref="R6:S6"/>
    <mergeCell ref="T16:V17"/>
    <mergeCell ref="T15:V15"/>
    <mergeCell ref="B6:Q6"/>
    <mergeCell ref="B3:I3"/>
    <mergeCell ref="H14:J14"/>
    <mergeCell ref="AE10:AJ10"/>
    <mergeCell ref="B15:F15"/>
    <mergeCell ref="AC6:AD6"/>
    <mergeCell ref="AE20:AG21"/>
    <mergeCell ref="AL15:AN15"/>
    <mergeCell ref="AI15:AK15"/>
    <mergeCell ref="Z16:AB17"/>
    <mergeCell ref="AI18:AK19"/>
    <mergeCell ref="Z14:AB14"/>
    <mergeCell ref="AC8:AD8"/>
    <mergeCell ref="AL12:AN14"/>
    <mergeCell ref="AL16:AN17"/>
    <mergeCell ref="AL20:AN21"/>
    <mergeCell ref="Z20:AB21"/>
    <mergeCell ref="AH18:AH19"/>
    <mergeCell ref="AH20:AH21"/>
    <mergeCell ref="AH12:AH14"/>
    <mergeCell ref="AE16:AG17"/>
    <mergeCell ref="H12:AB13"/>
    <mergeCell ref="Z10:AD10"/>
    <mergeCell ref="K16:M17"/>
    <mergeCell ref="K15:M15"/>
    <mergeCell ref="B10:I10"/>
    <mergeCell ref="G16:G17"/>
    <mergeCell ref="N16:P17"/>
    <mergeCell ref="W15:Y15"/>
    <mergeCell ref="K84:M85"/>
    <mergeCell ref="T84:W84"/>
    <mergeCell ref="T85:W85"/>
    <mergeCell ref="H81:J82"/>
    <mergeCell ref="T82:W82"/>
    <mergeCell ref="K81:M82"/>
    <mergeCell ref="T81:W81"/>
    <mergeCell ref="G24:G25"/>
    <mergeCell ref="L32:N35"/>
    <mergeCell ref="B32:G35"/>
    <mergeCell ref="B84:G85"/>
    <mergeCell ref="N78:P79"/>
    <mergeCell ref="H78:J79"/>
    <mergeCell ref="B78:G79"/>
    <mergeCell ref="B40:G41"/>
    <mergeCell ref="O45:P49"/>
    <mergeCell ref="L37:N38"/>
    <mergeCell ref="T78:W78"/>
    <mergeCell ref="Q84:S85"/>
    <mergeCell ref="R32:R35"/>
    <mergeCell ref="T73:AA75"/>
    <mergeCell ref="B73:S73"/>
    <mergeCell ref="X82:AA82"/>
    <mergeCell ref="B81:G82"/>
    <mergeCell ref="O40:O41"/>
    <mergeCell ref="N81:P82"/>
    <mergeCell ref="N74:P75"/>
    <mergeCell ref="Q74:S75"/>
    <mergeCell ref="K74:M75"/>
    <mergeCell ref="H40:J41"/>
    <mergeCell ref="K40:K41"/>
    <mergeCell ref="C49:K49"/>
    <mergeCell ref="Q49:T49"/>
    <mergeCell ref="Q81:S82"/>
    <mergeCell ref="Q78:S79"/>
    <mergeCell ref="K78:M79"/>
    <mergeCell ref="T79:W79"/>
    <mergeCell ref="R40:R41"/>
    <mergeCell ref="L49:M49"/>
    <mergeCell ref="B65:D65"/>
    <mergeCell ref="E62:H62"/>
    <mergeCell ref="J58:L58"/>
    <mergeCell ref="M58:P58"/>
    <mergeCell ref="O54:Q54"/>
    <mergeCell ref="O55:Q55"/>
    <mergeCell ref="B59:D59"/>
    <mergeCell ref="B60:D60"/>
    <mergeCell ref="B61:D61"/>
    <mergeCell ref="B45:B49"/>
    <mergeCell ref="B50:P50"/>
    <mergeCell ref="H74:J75"/>
    <mergeCell ref="B74:E75"/>
    <mergeCell ref="C45:K45"/>
    <mergeCell ref="Q45:T45"/>
    <mergeCell ref="L45:M45"/>
    <mergeCell ref="B52:R52"/>
    <mergeCell ref="Q47:T47"/>
    <mergeCell ref="B53:R53"/>
    <mergeCell ref="L47:M47"/>
    <mergeCell ref="Q50:T50"/>
    <mergeCell ref="E59:H59"/>
    <mergeCell ref="E60:H60"/>
    <mergeCell ref="K67:AH67"/>
    <mergeCell ref="R65:U65"/>
    <mergeCell ref="V65:X65"/>
    <mergeCell ref="Z58:AB58"/>
    <mergeCell ref="Z59:AB59"/>
    <mergeCell ref="Z60:AB60"/>
    <mergeCell ref="Z61:AB61"/>
    <mergeCell ref="R58:U58"/>
    <mergeCell ref="V58:X58"/>
    <mergeCell ref="AC62:AE62"/>
    <mergeCell ref="AB78:AE78"/>
    <mergeCell ref="AO78:AQ78"/>
    <mergeCell ref="AF79:AJ79"/>
    <mergeCell ref="AF81:AJ81"/>
    <mergeCell ref="AF82:AJ82"/>
    <mergeCell ref="AF84:AJ84"/>
    <mergeCell ref="AO81:AQ81"/>
    <mergeCell ref="X78:AA78"/>
    <mergeCell ref="N84:P85"/>
    <mergeCell ref="AF85:AJ85"/>
    <mergeCell ref="AB85:AE85"/>
    <mergeCell ref="AB84:AE84"/>
    <mergeCell ref="X81:AA81"/>
    <mergeCell ref="X79:AA79"/>
    <mergeCell ref="AB82:AE82"/>
    <mergeCell ref="AB79:AE79"/>
    <mergeCell ref="X85:AA85"/>
    <mergeCell ref="X84:AA84"/>
    <mergeCell ref="AB81:AE81"/>
    <mergeCell ref="AO82:AQ82"/>
    <mergeCell ref="AL79:AN79"/>
    <mergeCell ref="AF78:AJ78"/>
    <mergeCell ref="AY85:BA85"/>
    <mergeCell ref="AY81:BA81"/>
    <mergeCell ref="AO85:AQ85"/>
    <mergeCell ref="AY78:BA78"/>
    <mergeCell ref="AL84:AN84"/>
    <mergeCell ref="AO84:AQ84"/>
    <mergeCell ref="AL82:AN82"/>
    <mergeCell ref="AL85:AN85"/>
    <mergeCell ref="AR85:AX85"/>
    <mergeCell ref="AL78:AN78"/>
    <mergeCell ref="AO79:AQ79"/>
    <mergeCell ref="AR79:AX79"/>
    <mergeCell ref="AR81:AX81"/>
    <mergeCell ref="AR82:AX82"/>
    <mergeCell ref="AY82:BA82"/>
    <mergeCell ref="AR84:AX84"/>
    <mergeCell ref="AY84:BA84"/>
    <mergeCell ref="AY79:BA79"/>
    <mergeCell ref="AL81:AN81"/>
    <mergeCell ref="AR78:AX78"/>
    <mergeCell ref="T20:V21"/>
    <mergeCell ref="Z15:AB15"/>
    <mergeCell ref="AC16:AD17"/>
    <mergeCell ref="W32:Y35"/>
    <mergeCell ref="AC26:AD28"/>
    <mergeCell ref="W16:Y17"/>
    <mergeCell ref="V32:V35"/>
    <mergeCell ref="Z37:AB38"/>
    <mergeCell ref="W24:Y25"/>
    <mergeCell ref="W22:Y23"/>
    <mergeCell ref="W18:Y19"/>
    <mergeCell ref="Z24:AB25"/>
    <mergeCell ref="W37:Y38"/>
    <mergeCell ref="S32:U35"/>
    <mergeCell ref="T22:V23"/>
    <mergeCell ref="T24:V25"/>
    <mergeCell ref="Q20:S21"/>
    <mergeCell ref="T18:V19"/>
    <mergeCell ref="Q24:S25"/>
    <mergeCell ref="Q22:S23"/>
    <mergeCell ref="AJ37:AJ41"/>
    <mergeCell ref="Z32:AB35"/>
    <mergeCell ref="AF73:AJ75"/>
    <mergeCell ref="AL22:AN23"/>
    <mergeCell ref="AC15:AD15"/>
    <mergeCell ref="AB45:AO45"/>
    <mergeCell ref="AL24:AN25"/>
    <mergeCell ref="AH22:AH23"/>
    <mergeCell ref="AH24:AH25"/>
    <mergeCell ref="AH26:AH28"/>
    <mergeCell ref="AD40:AE41"/>
    <mergeCell ref="AC63:AE63"/>
    <mergeCell ref="AC64:AE64"/>
    <mergeCell ref="C29:AN30"/>
    <mergeCell ref="N20:P21"/>
    <mergeCell ref="K20:M21"/>
    <mergeCell ref="O37:O38"/>
    <mergeCell ref="H37:J38"/>
    <mergeCell ref="R37:R38"/>
    <mergeCell ref="K18:M19"/>
    <mergeCell ref="V37:V38"/>
    <mergeCell ref="S37:U38"/>
    <mergeCell ref="U51:AB53"/>
    <mergeCell ref="B26:M28"/>
    <mergeCell ref="B24:F25"/>
    <mergeCell ref="H18:J19"/>
    <mergeCell ref="K22:M23"/>
    <mergeCell ref="G22:G23"/>
    <mergeCell ref="H22:J23"/>
    <mergeCell ref="O32:O35"/>
    <mergeCell ref="N24:P25"/>
    <mergeCell ref="H16:J17"/>
    <mergeCell ref="N14:P14"/>
    <mergeCell ref="Q14:S14"/>
    <mergeCell ref="N15:P15"/>
    <mergeCell ref="K14:M14"/>
    <mergeCell ref="R8:S8"/>
    <mergeCell ref="T14:V14"/>
    <mergeCell ref="B8:Q8"/>
    <mergeCell ref="B16:F17"/>
    <mergeCell ref="H15:J15"/>
    <mergeCell ref="Q15:S15"/>
    <mergeCell ref="Q16:S17"/>
    <mergeCell ref="AN8:AO8"/>
    <mergeCell ref="AP12:BB12"/>
    <mergeCell ref="AW26:BB28"/>
    <mergeCell ref="AE15:AG15"/>
    <mergeCell ref="AE12:AG14"/>
    <mergeCell ref="AP22:AV24"/>
    <mergeCell ref="AI12:AK14"/>
    <mergeCell ref="AL26:AN28"/>
    <mergeCell ref="AE26:AG28"/>
    <mergeCell ref="AE18:AG19"/>
    <mergeCell ref="AI26:AK28"/>
    <mergeCell ref="AW14:BB16"/>
    <mergeCell ref="AP18:AV20"/>
    <mergeCell ref="AE24:AG25"/>
    <mergeCell ref="AP26:AV28"/>
    <mergeCell ref="AI24:AK25"/>
    <mergeCell ref="AI20:AK21"/>
    <mergeCell ref="AH16:AH17"/>
    <mergeCell ref="AL18:AN19"/>
    <mergeCell ref="AI16:AK17"/>
    <mergeCell ref="AP61:AR61"/>
    <mergeCell ref="AP62:AR62"/>
    <mergeCell ref="AS63:AU63"/>
    <mergeCell ref="AS61:AU61"/>
    <mergeCell ref="AS62:AU62"/>
    <mergeCell ref="N26:P28"/>
    <mergeCell ref="Q26:Y28"/>
    <mergeCell ref="Z26:AB28"/>
    <mergeCell ref="W40:Y41"/>
    <mergeCell ref="P40:Q41"/>
    <mergeCell ref="V40:V41"/>
    <mergeCell ref="AD37:AE38"/>
    <mergeCell ref="AD32:AE35"/>
    <mergeCell ref="Z40:AB41"/>
    <mergeCell ref="AC40:AC41"/>
    <mergeCell ref="AC32:AC35"/>
    <mergeCell ref="AF37:AI38"/>
    <mergeCell ref="AC37:AC38"/>
    <mergeCell ref="AF32:AI35"/>
    <mergeCell ref="P32:Q35"/>
    <mergeCell ref="B43:N43"/>
    <mergeCell ref="E63:H63"/>
    <mergeCell ref="K32:K35"/>
    <mergeCell ref="S40:U41"/>
    <mergeCell ref="AC12:AD14"/>
    <mergeCell ref="AK37:AN41"/>
    <mergeCell ref="AF40:AI41"/>
    <mergeCell ref="AP32:AV35"/>
    <mergeCell ref="AS59:AU59"/>
    <mergeCell ref="AS54:AV54"/>
    <mergeCell ref="AS55:AV55"/>
    <mergeCell ref="AP37:AV38"/>
    <mergeCell ref="AP40:AV41"/>
    <mergeCell ref="AN49:AO49"/>
    <mergeCell ref="AN47:AO47"/>
    <mergeCell ref="AK32:AN35"/>
    <mergeCell ref="AQ47:BA49"/>
    <mergeCell ref="AX37:BB41"/>
    <mergeCell ref="AW18:BB20"/>
    <mergeCell ref="AX32:BB35"/>
    <mergeCell ref="AZ45:BA45"/>
    <mergeCell ref="AW57:AY64"/>
    <mergeCell ref="AP58:AR58"/>
    <mergeCell ref="AS64:AU64"/>
    <mergeCell ref="AP60:AR60"/>
    <mergeCell ref="AW54:AY54"/>
    <mergeCell ref="AW55:AY55"/>
    <mergeCell ref="AS60:AU60"/>
  </mergeCells>
  <phoneticPr fontId="0" type="noConversion"/>
  <conditionalFormatting sqref="AC26:AH26 AC27:AG28 AN47:AO49 AF78:BA85">
    <cfRule type="containsErrors" dxfId="11" priority="3" stopIfTrue="1">
      <formula>ISERROR(AC26)</formula>
    </cfRule>
  </conditionalFormatting>
  <conditionalFormatting sqref="AH26">
    <cfRule type="expression" dxfId="10" priority="1" stopIfTrue="1">
      <formula>$AH$26&lt;&gt;$AW$26</formula>
    </cfRule>
  </conditionalFormatting>
  <conditionalFormatting sqref="AI26:AN28">
    <cfRule type="containsErrors" dxfId="9" priority="2" stopIfTrue="1">
      <formula>ISERROR(AI26)</formula>
    </cfRule>
  </conditionalFormatting>
  <conditionalFormatting sqref="AZ45">
    <cfRule type="expression" dxfId="8" priority="5" stopIfTrue="1">
      <formula>$AZ$45&gt;$AZ$50</formula>
    </cfRule>
    <cfRule type="expression" dxfId="7" priority="6" stopIfTrue="1">
      <formula>$AZ$45&lt;$AZ$50</formula>
    </cfRule>
  </conditionalFormatting>
  <dataValidations disablePrompts="1" count="3">
    <dataValidation errorStyle="warning" operator="greaterThan" showInputMessage="1" showErrorMessage="1" sqref="AZ45:BA45" xr:uid="{CEEA637A-9684-476F-9DD1-6277E1A155B4}"/>
    <dataValidation type="list" allowBlank="1" showInputMessage="1" showErrorMessage="1" sqref="R6:S6" xr:uid="{53E3E859-69FD-4C29-BB8D-AE57A564A30F}">
      <formula1>ouinon</formula1>
    </dataValidation>
    <dataValidation type="list" allowBlank="1" showInputMessage="1" showErrorMessage="1" sqref="R8:S8" xr:uid="{3DF3A212-CF38-44B0-9A8A-87FD6E526086}">
      <formula1>pourcent</formula1>
    </dataValidation>
  </dataValidations>
  <hyperlinks>
    <hyperlink ref="L87" r:id="rId1" xr:uid="{F69E1EEA-4F12-46A2-A6E4-258918896F3D}"/>
    <hyperlink ref="K67" r:id="rId2" xr:uid="{589ADA52-E9CD-470D-8D99-13F9B1CAA883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50" r:id="rId6" name="Check Box 2178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38100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DABE3A92-F57E-42BC-A147-2AB74B950843}">
          <x14:formula1>
            <xm:f>Sources!$T$25:$T$29</xm:f>
          </x14:formula1>
          <xm:sqref>AE55:AF55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1BD2-AB31-4900-8514-B71A80F23C8E}">
  <sheetPr codeName="Feuil2">
    <pageSetUpPr fitToPage="1"/>
  </sheetPr>
  <dimension ref="A1:BZ87"/>
  <sheetViews>
    <sheetView showGridLines="0" zoomScale="91" zoomScaleNormal="91" zoomScaleSheetLayoutView="91" zoomScalePageLayoutView="93" workbookViewId="0">
      <selection activeCell="J3" sqref="J3:X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1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6.28515625" style="7" customWidth="1"/>
    <col min="18" max="19" width="3.7109375" style="7" customWidth="1"/>
    <col min="20" max="20" width="1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8" width="3.7109375" style="1" customWidth="1"/>
    <col min="39" max="39" width="3.85546875" style="1" customWidth="1"/>
    <col min="40" max="40" width="4.7109375" style="1" customWidth="1"/>
    <col min="41" max="41" width="3.570312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2" width="4" style="1" customWidth="1"/>
    <col min="53" max="53" width="5.7109375" style="1" customWidth="1"/>
    <col min="54" max="54" width="4.7109375" style="1" customWidth="1"/>
    <col min="55" max="55" width="11.42578125" style="1" customWidth="1"/>
    <col min="56" max="57" width="4" style="1" customWidth="1"/>
    <col min="58" max="58" width="4.28515625" style="1" customWidth="1"/>
    <col min="59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25" t="s">
        <v>138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25"/>
      <c r="AP1" s="525"/>
      <c r="AQ1" s="525"/>
      <c r="AR1" s="525"/>
      <c r="AS1" s="525"/>
      <c r="AT1" s="525"/>
      <c r="AU1" s="526">
        <f>Sources!C3</f>
        <v>2026</v>
      </c>
      <c r="AV1" s="526"/>
      <c r="AW1" s="526"/>
      <c r="AX1" s="526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24" t="s">
        <v>97</v>
      </c>
      <c r="C3" s="524"/>
      <c r="D3" s="524"/>
      <c r="E3" s="524"/>
      <c r="F3" s="524"/>
      <c r="G3" s="524"/>
      <c r="H3" s="524"/>
      <c r="I3" s="524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174"/>
      <c r="Z3" s="601" t="s">
        <v>144</v>
      </c>
      <c r="AA3" s="601"/>
      <c r="AB3" s="601"/>
      <c r="AC3" s="601"/>
      <c r="AD3" s="601"/>
      <c r="AE3" s="602"/>
      <c r="AF3" s="602"/>
      <c r="AG3" s="602"/>
      <c r="AH3" s="601" t="s">
        <v>145</v>
      </c>
      <c r="AI3" s="601"/>
      <c r="AJ3" s="601"/>
      <c r="AK3" s="601"/>
      <c r="AL3" s="601"/>
      <c r="AM3" s="603"/>
      <c r="AN3" s="603"/>
      <c r="AO3" s="603"/>
      <c r="AP3"/>
      <c r="AQ3"/>
      <c r="AR3"/>
      <c r="AS3"/>
      <c r="AT3"/>
      <c r="AU3"/>
      <c r="AV3"/>
      <c r="AW3"/>
      <c r="AX3"/>
      <c r="AY3"/>
      <c r="AZ3"/>
      <c r="BA3"/>
      <c r="BC3" s="175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D4"/>
      <c r="BE4"/>
      <c r="BF4"/>
      <c r="BG4"/>
      <c r="BH4"/>
      <c r="BI4"/>
      <c r="BJ4"/>
      <c r="BK4"/>
      <c r="BL4"/>
    </row>
    <row r="5" spans="1:78" ht="12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38" t="s">
        <v>30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6" t="s">
        <v>29</v>
      </c>
      <c r="S6" s="537"/>
      <c r="U6" s="2" t="s">
        <v>0</v>
      </c>
      <c r="V6" s="3"/>
      <c r="X6" s="8"/>
      <c r="Y6" s="1"/>
      <c r="Z6" s="34"/>
      <c r="AA6" s="8"/>
      <c r="AB6" s="4"/>
      <c r="AC6" s="513"/>
      <c r="AD6" s="514"/>
      <c r="AF6"/>
      <c r="AG6"/>
      <c r="AH6"/>
      <c r="AI6"/>
      <c r="AJ6"/>
      <c r="AK6"/>
      <c r="AL6"/>
      <c r="AM6"/>
      <c r="AN6"/>
      <c r="AO6"/>
      <c r="AP6"/>
      <c r="BC6" s="177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28" t="s">
        <v>134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6">
        <v>0.25</v>
      </c>
      <c r="S8" s="327"/>
      <c r="U8" s="2" t="s">
        <v>9</v>
      </c>
      <c r="W8" s="1"/>
      <c r="X8" s="9"/>
      <c r="Y8" s="1"/>
      <c r="Z8" s="9"/>
      <c r="AA8" s="9"/>
      <c r="AB8" s="9"/>
      <c r="AC8" s="518">
        <f>IF($R$6="oui",$AC$6*Sources!$Q$23,$AC$6*Sources!$Q$23)</f>
        <v>0</v>
      </c>
      <c r="AD8" s="519"/>
      <c r="AE8" s="533" t="s">
        <v>132</v>
      </c>
      <c r="AF8" s="534"/>
      <c r="AG8" s="534"/>
      <c r="AH8" s="534"/>
      <c r="AI8" s="534"/>
      <c r="AJ8" s="534"/>
      <c r="AK8" s="534"/>
      <c r="AL8" s="534"/>
      <c r="AM8" s="534"/>
      <c r="AN8" s="292">
        <f>(AC6/Sources!R26)</f>
        <v>0</v>
      </c>
      <c r="AO8" s="293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24" t="s">
        <v>46</v>
      </c>
      <c r="C10" s="524"/>
      <c r="D10" s="524"/>
      <c r="E10" s="524"/>
      <c r="F10" s="524"/>
      <c r="G10" s="524"/>
      <c r="H10" s="524"/>
      <c r="I10" s="524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23" t="s">
        <v>47</v>
      </c>
      <c r="AA10" s="523"/>
      <c r="AB10" s="523"/>
      <c r="AC10" s="523"/>
      <c r="AD10" s="523"/>
      <c r="AE10" s="539"/>
      <c r="AF10" s="539"/>
      <c r="AG10" s="539"/>
      <c r="AH10" s="539"/>
      <c r="AI10" s="539"/>
      <c r="AJ10" s="539"/>
      <c r="AP10" s="535" t="str">
        <f ca="1">IF(Sources!N14="-3","Votre enfant à moins de 3 ans","Votre enfant à plus de 3 ans")</f>
        <v>Votre enfant à plus de 3 ans</v>
      </c>
      <c r="AQ10" s="535"/>
      <c r="AR10" s="535"/>
      <c r="AS10" s="535"/>
      <c r="AT10" s="535"/>
      <c r="AU10" s="535"/>
      <c r="AV10" s="535"/>
      <c r="AW10" s="535"/>
      <c r="AX10" s="535"/>
      <c r="AY10" s="535"/>
      <c r="AZ10" s="535"/>
      <c r="BA10" s="535"/>
      <c r="BB10" s="535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294" t="s">
        <v>24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195" t="s">
        <v>38</v>
      </c>
      <c r="AD12" s="196"/>
      <c r="AE12" s="299" t="s">
        <v>26</v>
      </c>
      <c r="AF12" s="299"/>
      <c r="AG12" s="299"/>
      <c r="AH12" s="520" t="s">
        <v>141</v>
      </c>
      <c r="AI12" s="302" t="s">
        <v>25</v>
      </c>
      <c r="AJ12" s="302"/>
      <c r="AK12" s="302"/>
      <c r="AL12" s="302" t="s">
        <v>27</v>
      </c>
      <c r="AM12" s="302"/>
      <c r="AN12" s="302"/>
      <c r="AO12" s="5"/>
      <c r="AP12" s="294" t="s">
        <v>137</v>
      </c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197"/>
      <c r="AD13" s="198"/>
      <c r="AE13" s="299"/>
      <c r="AF13" s="299"/>
      <c r="AG13" s="299"/>
      <c r="AH13" s="521"/>
      <c r="AI13" s="302"/>
      <c r="AJ13" s="302"/>
      <c r="AK13" s="302"/>
      <c r="AL13" s="302"/>
      <c r="AM13" s="302"/>
      <c r="AN13" s="302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20" t="s">
        <v>1</v>
      </c>
      <c r="I14" s="321"/>
      <c r="J14" s="322"/>
      <c r="K14" s="320" t="s">
        <v>2</v>
      </c>
      <c r="L14" s="321"/>
      <c r="M14" s="322"/>
      <c r="N14" s="320" t="s">
        <v>3</v>
      </c>
      <c r="O14" s="321"/>
      <c r="P14" s="322"/>
      <c r="Q14" s="320" t="s">
        <v>4</v>
      </c>
      <c r="R14" s="321"/>
      <c r="S14" s="322"/>
      <c r="T14" s="320" t="s">
        <v>5</v>
      </c>
      <c r="U14" s="321"/>
      <c r="V14" s="322"/>
      <c r="W14" s="320" t="s">
        <v>6</v>
      </c>
      <c r="X14" s="321"/>
      <c r="Y14" s="322"/>
      <c r="Z14" s="320" t="s">
        <v>7</v>
      </c>
      <c r="AA14" s="321"/>
      <c r="AB14" s="321"/>
      <c r="AC14" s="199"/>
      <c r="AD14" s="200"/>
      <c r="AE14" s="299"/>
      <c r="AF14" s="299"/>
      <c r="AG14" s="299"/>
      <c r="AH14" s="522"/>
      <c r="AI14" s="302"/>
      <c r="AJ14" s="302"/>
      <c r="AK14" s="302"/>
      <c r="AL14" s="302"/>
      <c r="AM14" s="302"/>
      <c r="AN14" s="302"/>
      <c r="AP14" s="527" t="s">
        <v>143</v>
      </c>
      <c r="AQ14" s="527"/>
      <c r="AR14" s="527"/>
      <c r="AS14" s="527"/>
      <c r="AT14" s="527"/>
      <c r="AU14" s="527"/>
      <c r="AV14" s="527"/>
      <c r="AW14" s="226"/>
      <c r="AX14" s="226"/>
      <c r="AY14" s="226"/>
      <c r="AZ14" s="226"/>
      <c r="BA14" s="226"/>
      <c r="BB14" s="226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40" t="s">
        <v>51</v>
      </c>
      <c r="C15" s="541"/>
      <c r="D15" s="541"/>
      <c r="E15" s="541"/>
      <c r="F15" s="541"/>
      <c r="G15" s="68">
        <f>IF(AC15=0,0,COUNT(H15:AB15)/AC15)</f>
        <v>0</v>
      </c>
      <c r="H15" s="323"/>
      <c r="I15" s="324"/>
      <c r="J15" s="325"/>
      <c r="K15" s="323"/>
      <c r="L15" s="324"/>
      <c r="M15" s="325"/>
      <c r="N15" s="323"/>
      <c r="O15" s="324"/>
      <c r="P15" s="325"/>
      <c r="Q15" s="323"/>
      <c r="R15" s="324"/>
      <c r="S15" s="325"/>
      <c r="T15" s="323"/>
      <c r="U15" s="324"/>
      <c r="V15" s="325"/>
      <c r="W15" s="384"/>
      <c r="X15" s="385"/>
      <c r="Y15" s="386"/>
      <c r="Z15" s="384"/>
      <c r="AA15" s="385"/>
      <c r="AB15" s="386"/>
      <c r="AC15" s="357">
        <f>IF(ISBLANK(H15),0,1)+IF(ISBLANK(K15),0,1)+IF(ISBLANK(N15),0,1)+IF(ISBLANK(Q15),0,1)+IF(ISBLANK(T15),0,1)+IF(ISBLANK(W15),0,1)+IF(ISBLANK(Z15),0,1)</f>
        <v>0</v>
      </c>
      <c r="AD15" s="358"/>
      <c r="AE15" s="296">
        <f>SUM(H15:AB15)</f>
        <v>0</v>
      </c>
      <c r="AF15" s="297"/>
      <c r="AG15" s="298"/>
      <c r="AH15" s="180"/>
      <c r="AI15" s="296">
        <f>IF(AE15&gt;45,45,AE15)</f>
        <v>0</v>
      </c>
      <c r="AJ15" s="297"/>
      <c r="AK15" s="298"/>
      <c r="AL15" s="515">
        <f>AE15-AI15</f>
        <v>0</v>
      </c>
      <c r="AM15" s="516"/>
      <c r="AN15" s="517"/>
      <c r="AP15" s="527"/>
      <c r="AQ15" s="527"/>
      <c r="AR15" s="527"/>
      <c r="AS15" s="527"/>
      <c r="AT15" s="527"/>
      <c r="AU15" s="527"/>
      <c r="AV15" s="527"/>
      <c r="AW15" s="226"/>
      <c r="AX15" s="226"/>
      <c r="AY15" s="226"/>
      <c r="AZ15" s="226"/>
      <c r="BA15" s="226"/>
      <c r="BB15" s="226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29" t="s">
        <v>52</v>
      </c>
      <c r="C16" s="330"/>
      <c r="D16" s="330"/>
      <c r="E16" s="330"/>
      <c r="F16" s="330"/>
      <c r="G16" s="341">
        <f>IF(AC16=0,0,COUNT(H16:AB17)/AC16)</f>
        <v>0</v>
      </c>
      <c r="H16" s="333"/>
      <c r="I16" s="334"/>
      <c r="J16" s="335"/>
      <c r="K16" s="333"/>
      <c r="L16" s="334"/>
      <c r="M16" s="335"/>
      <c r="N16" s="333"/>
      <c r="O16" s="334"/>
      <c r="P16" s="335"/>
      <c r="Q16" s="333"/>
      <c r="R16" s="334"/>
      <c r="S16" s="335"/>
      <c r="T16" s="333"/>
      <c r="U16" s="334"/>
      <c r="V16" s="335"/>
      <c r="W16" s="312"/>
      <c r="X16" s="390"/>
      <c r="Y16" s="391"/>
      <c r="Z16" s="312"/>
      <c r="AA16" s="390"/>
      <c r="AB16" s="391"/>
      <c r="AC16" s="357">
        <f>IF(ISBLANK(H16),0,1)+IF(ISBLANK(K16),0,1)+IF(ISBLANK(N16),0,1)+IF(ISBLANK(Q16),0,1)+IF(ISBLANK(T16),0,1)+IF(ISBLANK(W16),0,1)+IF(ISBLANK(Z16),0,1)</f>
        <v>0</v>
      </c>
      <c r="AD16" s="358"/>
      <c r="AE16" s="305">
        <f>SUM(H16:AB17)</f>
        <v>0</v>
      </c>
      <c r="AF16" s="306"/>
      <c r="AG16" s="307"/>
      <c r="AH16" s="312"/>
      <c r="AI16" s="305">
        <f>IF(AE16&gt;45,45,AE16)</f>
        <v>0</v>
      </c>
      <c r="AJ16" s="306"/>
      <c r="AK16" s="307"/>
      <c r="AL16" s="314">
        <f>AE16-AI16</f>
        <v>0</v>
      </c>
      <c r="AM16" s="315"/>
      <c r="AN16" s="316"/>
      <c r="AP16" s="527"/>
      <c r="AQ16" s="527"/>
      <c r="AR16" s="527"/>
      <c r="AS16" s="527"/>
      <c r="AT16" s="527"/>
      <c r="AU16" s="527"/>
      <c r="AV16" s="527"/>
      <c r="AW16" s="226"/>
      <c r="AX16" s="226"/>
      <c r="AY16" s="226"/>
      <c r="AZ16" s="226"/>
      <c r="BA16" s="226"/>
      <c r="BB16" s="22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31"/>
      <c r="C17" s="332"/>
      <c r="D17" s="332"/>
      <c r="E17" s="332"/>
      <c r="F17" s="332"/>
      <c r="G17" s="342"/>
      <c r="H17" s="336"/>
      <c r="I17" s="337"/>
      <c r="J17" s="338"/>
      <c r="K17" s="336"/>
      <c r="L17" s="337"/>
      <c r="M17" s="338"/>
      <c r="N17" s="336"/>
      <c r="O17" s="337"/>
      <c r="P17" s="338"/>
      <c r="Q17" s="336"/>
      <c r="R17" s="337"/>
      <c r="S17" s="338"/>
      <c r="T17" s="336"/>
      <c r="U17" s="337"/>
      <c r="V17" s="338"/>
      <c r="W17" s="313"/>
      <c r="X17" s="392"/>
      <c r="Y17" s="393"/>
      <c r="Z17" s="313"/>
      <c r="AA17" s="392"/>
      <c r="AB17" s="393"/>
      <c r="AC17" s="387"/>
      <c r="AD17" s="388"/>
      <c r="AE17" s="308"/>
      <c r="AF17" s="309"/>
      <c r="AG17" s="310"/>
      <c r="AH17" s="313"/>
      <c r="AI17" s="308"/>
      <c r="AJ17" s="309"/>
      <c r="AK17" s="310"/>
      <c r="AL17" s="317"/>
      <c r="AM17" s="318"/>
      <c r="AN17" s="319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29" t="s">
        <v>53</v>
      </c>
      <c r="C18" s="330"/>
      <c r="D18" s="330"/>
      <c r="E18" s="330"/>
      <c r="F18" s="330"/>
      <c r="G18" s="341">
        <f>IF(AC18=0,0,COUNT(H18:AB19)/AC18)</f>
        <v>0</v>
      </c>
      <c r="H18" s="333"/>
      <c r="I18" s="334"/>
      <c r="J18" s="335"/>
      <c r="K18" s="333"/>
      <c r="L18" s="334"/>
      <c r="M18" s="335"/>
      <c r="N18" s="333"/>
      <c r="O18" s="334"/>
      <c r="P18" s="335"/>
      <c r="Q18" s="333"/>
      <c r="R18" s="334"/>
      <c r="S18" s="335"/>
      <c r="T18" s="333"/>
      <c r="U18" s="334"/>
      <c r="V18" s="335"/>
      <c r="W18" s="312"/>
      <c r="X18" s="390"/>
      <c r="Y18" s="391"/>
      <c r="Z18" s="312"/>
      <c r="AA18" s="390"/>
      <c r="AB18" s="391"/>
      <c r="AC18" s="528">
        <f>IF(ISBLANK(H18),0,1)+IF(ISBLANK(K18),0,1)+IF(ISBLANK(N18),0,1)+IF(ISBLANK(Q18),0,1)+IF(ISBLANK(T18),0,1)+IF(ISBLANK(W18),0,1)+IF(ISBLANK(Z18),0,1)</f>
        <v>0</v>
      </c>
      <c r="AD18" s="529"/>
      <c r="AE18" s="305">
        <f>SUM(H18:AB19)</f>
        <v>0</v>
      </c>
      <c r="AF18" s="306"/>
      <c r="AG18" s="307"/>
      <c r="AH18" s="312"/>
      <c r="AI18" s="305">
        <f>IF(AE18&gt;45,45,AE18)</f>
        <v>0</v>
      </c>
      <c r="AJ18" s="306"/>
      <c r="AK18" s="307"/>
      <c r="AL18" s="314">
        <f>AE18-AI18</f>
        <v>0</v>
      </c>
      <c r="AM18" s="315"/>
      <c r="AN18" s="316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31"/>
      <c r="C19" s="332"/>
      <c r="D19" s="332"/>
      <c r="E19" s="332"/>
      <c r="F19" s="332"/>
      <c r="G19" s="342"/>
      <c r="H19" s="336"/>
      <c r="I19" s="337"/>
      <c r="J19" s="338"/>
      <c r="K19" s="336"/>
      <c r="L19" s="337"/>
      <c r="M19" s="338"/>
      <c r="N19" s="336"/>
      <c r="O19" s="337"/>
      <c r="P19" s="338"/>
      <c r="Q19" s="336"/>
      <c r="R19" s="337"/>
      <c r="S19" s="338"/>
      <c r="T19" s="336"/>
      <c r="U19" s="337"/>
      <c r="V19" s="338"/>
      <c r="W19" s="313"/>
      <c r="X19" s="392"/>
      <c r="Y19" s="393"/>
      <c r="Z19" s="313"/>
      <c r="AA19" s="392"/>
      <c r="AB19" s="393"/>
      <c r="AC19" s="530"/>
      <c r="AD19" s="531"/>
      <c r="AE19" s="308"/>
      <c r="AF19" s="309"/>
      <c r="AG19" s="310"/>
      <c r="AH19" s="313"/>
      <c r="AI19" s="308"/>
      <c r="AJ19" s="309"/>
      <c r="AK19" s="310"/>
      <c r="AL19" s="317"/>
      <c r="AM19" s="318"/>
      <c r="AN19" s="319"/>
      <c r="AP19" s="178"/>
      <c r="AQ19" s="179"/>
      <c r="AR19" s="179"/>
      <c r="AS19" s="179"/>
      <c r="AT19" s="179"/>
      <c r="AU19" s="179"/>
      <c r="AV19" s="179"/>
      <c r="AW19" s="178"/>
      <c r="AX19" s="178"/>
      <c r="AY19" s="178"/>
      <c r="AZ19" s="178"/>
      <c r="BA19" s="178"/>
      <c r="BB19" s="178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29" t="s">
        <v>54</v>
      </c>
      <c r="C20" s="330"/>
      <c r="D20" s="330"/>
      <c r="E20" s="330"/>
      <c r="F20" s="330"/>
      <c r="G20" s="341">
        <f>IF(AC20=0,0,COUNT(H20:AB21)/AC20)</f>
        <v>0</v>
      </c>
      <c r="H20" s="333"/>
      <c r="I20" s="334"/>
      <c r="J20" s="335"/>
      <c r="K20" s="333"/>
      <c r="L20" s="334"/>
      <c r="M20" s="335"/>
      <c r="N20" s="333"/>
      <c r="O20" s="334"/>
      <c r="P20" s="335"/>
      <c r="Q20" s="333"/>
      <c r="R20" s="334"/>
      <c r="S20" s="335"/>
      <c r="T20" s="333"/>
      <c r="U20" s="334"/>
      <c r="V20" s="335"/>
      <c r="W20" s="312"/>
      <c r="X20" s="390"/>
      <c r="Y20" s="391"/>
      <c r="Z20" s="312"/>
      <c r="AA20" s="390"/>
      <c r="AB20" s="391"/>
      <c r="AC20" s="528">
        <f>IF(ISBLANK(H20),0,1)+IF(ISBLANK(K20),0,1)+IF(ISBLANK(N20),0,1)+IF(ISBLANK(Q20),0,1)+IF(ISBLANK(T20),0,1)+IF(ISBLANK(W20),0,1)+IF(ISBLANK(Z20),0,1)</f>
        <v>0</v>
      </c>
      <c r="AD20" s="529"/>
      <c r="AE20" s="305">
        <f>SUM(H20:AB21)</f>
        <v>0</v>
      </c>
      <c r="AF20" s="306"/>
      <c r="AG20" s="307"/>
      <c r="AH20" s="312"/>
      <c r="AI20" s="305">
        <f>IF(AE20&gt;45,45,AE20)</f>
        <v>0</v>
      </c>
      <c r="AJ20" s="306"/>
      <c r="AK20" s="307"/>
      <c r="AL20" s="314">
        <f>AE20-AI20</f>
        <v>0</v>
      </c>
      <c r="AM20" s="315"/>
      <c r="AN20" s="316"/>
      <c r="AP20" s="178"/>
      <c r="AQ20" s="179"/>
      <c r="AR20" s="179"/>
      <c r="AS20" s="179"/>
      <c r="AT20" s="179"/>
      <c r="AU20" s="179"/>
      <c r="AV20" s="179"/>
      <c r="AW20" s="178"/>
      <c r="AX20" s="178"/>
      <c r="AY20" s="178"/>
      <c r="AZ20" s="178"/>
      <c r="BA20" s="178"/>
      <c r="BB20" s="178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31"/>
      <c r="C21" s="332"/>
      <c r="D21" s="332"/>
      <c r="E21" s="332"/>
      <c r="F21" s="332"/>
      <c r="G21" s="342"/>
      <c r="H21" s="336"/>
      <c r="I21" s="337"/>
      <c r="J21" s="338"/>
      <c r="K21" s="336"/>
      <c r="L21" s="337"/>
      <c r="M21" s="338"/>
      <c r="N21" s="336"/>
      <c r="O21" s="337"/>
      <c r="P21" s="338"/>
      <c r="Q21" s="336"/>
      <c r="R21" s="337"/>
      <c r="S21" s="338"/>
      <c r="T21" s="336"/>
      <c r="U21" s="337"/>
      <c r="V21" s="338"/>
      <c r="W21" s="313"/>
      <c r="X21" s="392"/>
      <c r="Y21" s="393"/>
      <c r="Z21" s="313"/>
      <c r="AA21" s="392"/>
      <c r="AB21" s="393"/>
      <c r="AC21" s="530"/>
      <c r="AD21" s="531"/>
      <c r="AE21" s="308"/>
      <c r="AF21" s="309"/>
      <c r="AG21" s="310"/>
      <c r="AH21" s="313"/>
      <c r="AI21" s="308"/>
      <c r="AJ21" s="309"/>
      <c r="AK21" s="310"/>
      <c r="AL21" s="317"/>
      <c r="AM21" s="318"/>
      <c r="AN21" s="319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29" t="s">
        <v>55</v>
      </c>
      <c r="C22" s="330"/>
      <c r="D22" s="330"/>
      <c r="E22" s="330"/>
      <c r="F22" s="330"/>
      <c r="G22" s="341">
        <f>IF(AC22=0,0,COUNT(H22:AB23)/AC22)</f>
        <v>0</v>
      </c>
      <c r="H22" s="333"/>
      <c r="I22" s="334"/>
      <c r="J22" s="335"/>
      <c r="K22" s="333"/>
      <c r="L22" s="334"/>
      <c r="M22" s="335"/>
      <c r="N22" s="333"/>
      <c r="O22" s="334"/>
      <c r="P22" s="335"/>
      <c r="Q22" s="333"/>
      <c r="R22" s="334"/>
      <c r="S22" s="335"/>
      <c r="T22" s="333"/>
      <c r="U22" s="334"/>
      <c r="V22" s="335"/>
      <c r="W22" s="312"/>
      <c r="X22" s="390"/>
      <c r="Y22" s="391"/>
      <c r="Z22" s="312"/>
      <c r="AA22" s="390"/>
      <c r="AB22" s="391"/>
      <c r="AC22" s="357">
        <f>IF(ISBLANK(H22),0,1)+IF(ISBLANK(K22),0,1)+IF(ISBLANK(N22),0,1)+IF(ISBLANK(Q22),0,1)+IF(ISBLANK(T22),0,1)+IF(ISBLANK(W22),0,1)+IF(ISBLANK(Z22),0,1)</f>
        <v>0</v>
      </c>
      <c r="AD22" s="358"/>
      <c r="AE22" s="305">
        <f>SUM(H22:AB23)</f>
        <v>0</v>
      </c>
      <c r="AF22" s="306"/>
      <c r="AG22" s="307"/>
      <c r="AH22" s="312"/>
      <c r="AI22" s="305">
        <f>IF(AE22&gt;45,45,AE22)</f>
        <v>0</v>
      </c>
      <c r="AJ22" s="306"/>
      <c r="AK22" s="307"/>
      <c r="AL22" s="314">
        <f>AE22-AI22</f>
        <v>0</v>
      </c>
      <c r="AM22" s="315"/>
      <c r="AN22" s="316"/>
      <c r="AP22" s="604" t="s">
        <v>146</v>
      </c>
      <c r="AQ22" s="301"/>
      <c r="AR22" s="301"/>
      <c r="AS22" s="301"/>
      <c r="AT22" s="301"/>
      <c r="AU22" s="301"/>
      <c r="AV22" s="301"/>
      <c r="AW22" s="226"/>
      <c r="AX22" s="226"/>
      <c r="AY22" s="226"/>
      <c r="AZ22" s="226"/>
      <c r="BA22" s="226"/>
      <c r="BB22" s="226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31"/>
      <c r="C23" s="332"/>
      <c r="D23" s="332"/>
      <c r="E23" s="332"/>
      <c r="F23" s="332"/>
      <c r="G23" s="342"/>
      <c r="H23" s="336"/>
      <c r="I23" s="337"/>
      <c r="J23" s="338"/>
      <c r="K23" s="336"/>
      <c r="L23" s="337"/>
      <c r="M23" s="338"/>
      <c r="N23" s="336"/>
      <c r="O23" s="337"/>
      <c r="P23" s="338"/>
      <c r="Q23" s="336"/>
      <c r="R23" s="337"/>
      <c r="S23" s="338"/>
      <c r="T23" s="336"/>
      <c r="U23" s="337"/>
      <c r="V23" s="338"/>
      <c r="W23" s="313"/>
      <c r="X23" s="392"/>
      <c r="Y23" s="393"/>
      <c r="Z23" s="313"/>
      <c r="AA23" s="392"/>
      <c r="AB23" s="393"/>
      <c r="AC23" s="387"/>
      <c r="AD23" s="388"/>
      <c r="AE23" s="308"/>
      <c r="AF23" s="309"/>
      <c r="AG23" s="310"/>
      <c r="AH23" s="313"/>
      <c r="AI23" s="308"/>
      <c r="AJ23" s="309"/>
      <c r="AK23" s="310"/>
      <c r="AL23" s="317"/>
      <c r="AM23" s="318"/>
      <c r="AN23" s="319"/>
      <c r="AP23" s="301"/>
      <c r="AQ23" s="301"/>
      <c r="AR23" s="301"/>
      <c r="AS23" s="301"/>
      <c r="AT23" s="301"/>
      <c r="AU23" s="301"/>
      <c r="AV23" s="301"/>
      <c r="AW23" s="226"/>
      <c r="AX23" s="226"/>
      <c r="AY23" s="226"/>
      <c r="AZ23" s="226"/>
      <c r="BA23" s="226"/>
      <c r="BB23" s="226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339" t="s">
        <v>56</v>
      </c>
      <c r="C24" s="340"/>
      <c r="D24" s="340"/>
      <c r="E24" s="340"/>
      <c r="F24" s="340"/>
      <c r="G24" s="341">
        <f>IF(AC24=0,0,COUNT(H24:AB25)/AC24)</f>
        <v>0</v>
      </c>
      <c r="H24" s="333"/>
      <c r="I24" s="334"/>
      <c r="J24" s="335"/>
      <c r="K24" s="333"/>
      <c r="L24" s="334"/>
      <c r="M24" s="335"/>
      <c r="N24" s="333"/>
      <c r="O24" s="334"/>
      <c r="P24" s="335"/>
      <c r="Q24" s="333"/>
      <c r="R24" s="334"/>
      <c r="S24" s="335"/>
      <c r="T24" s="333"/>
      <c r="U24" s="334"/>
      <c r="V24" s="335"/>
      <c r="W24" s="312"/>
      <c r="X24" s="390"/>
      <c r="Y24" s="391"/>
      <c r="Z24" s="312"/>
      <c r="AA24" s="390"/>
      <c r="AB24" s="391"/>
      <c r="AC24" s="357">
        <f>IF(ISBLANK(H24),0,1)+IF(ISBLANK(K24),0,1)+IF(ISBLANK(N24),0,1)+IF(ISBLANK(Q24),0,1)+IF(ISBLANK(T24),0,1)+IF(ISBLANK(W24),0,1)+IF(ISBLANK(Z24),0,1)</f>
        <v>0</v>
      </c>
      <c r="AD24" s="358"/>
      <c r="AE24" s="305">
        <f>SUM(H24:AB25)</f>
        <v>0</v>
      </c>
      <c r="AF24" s="306"/>
      <c r="AG24" s="307"/>
      <c r="AH24" s="312"/>
      <c r="AI24" s="305">
        <f>IF(AE24&gt;45,45,AE24)</f>
        <v>0</v>
      </c>
      <c r="AJ24" s="306"/>
      <c r="AK24" s="307"/>
      <c r="AL24" s="314">
        <f>AE24-AI24</f>
        <v>0</v>
      </c>
      <c r="AM24" s="315"/>
      <c r="AN24" s="316"/>
      <c r="AP24" s="301"/>
      <c r="AQ24" s="301"/>
      <c r="AR24" s="301"/>
      <c r="AS24" s="301"/>
      <c r="AT24" s="301"/>
      <c r="AU24" s="301"/>
      <c r="AV24" s="301"/>
      <c r="AW24" s="226"/>
      <c r="AX24" s="226"/>
      <c r="AY24" s="226"/>
      <c r="AZ24" s="226"/>
      <c r="BA24" s="226"/>
      <c r="BB24" s="226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31"/>
      <c r="C25" s="332"/>
      <c r="D25" s="332"/>
      <c r="E25" s="332"/>
      <c r="F25" s="332"/>
      <c r="G25" s="342"/>
      <c r="H25" s="336"/>
      <c r="I25" s="337"/>
      <c r="J25" s="338"/>
      <c r="K25" s="336"/>
      <c r="L25" s="337"/>
      <c r="M25" s="338"/>
      <c r="N25" s="336"/>
      <c r="O25" s="337"/>
      <c r="P25" s="338"/>
      <c r="Q25" s="336"/>
      <c r="R25" s="337"/>
      <c r="S25" s="338"/>
      <c r="T25" s="336"/>
      <c r="U25" s="337"/>
      <c r="V25" s="338"/>
      <c r="W25" s="313"/>
      <c r="X25" s="392"/>
      <c r="Y25" s="393"/>
      <c r="Z25" s="313"/>
      <c r="AA25" s="392"/>
      <c r="AB25" s="393"/>
      <c r="AC25" s="387"/>
      <c r="AD25" s="388"/>
      <c r="AE25" s="308"/>
      <c r="AF25" s="309"/>
      <c r="AG25" s="310"/>
      <c r="AH25" s="313"/>
      <c r="AI25" s="308"/>
      <c r="AJ25" s="309"/>
      <c r="AK25" s="310"/>
      <c r="AL25" s="317"/>
      <c r="AM25" s="318"/>
      <c r="AN25" s="319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375" t="s">
        <v>135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7"/>
      <c r="N26" s="242">
        <f>$AW$26</f>
        <v>0</v>
      </c>
      <c r="O26" s="242"/>
      <c r="P26" s="242"/>
      <c r="Q26" s="243" t="str">
        <f>IF(N26&lt;47,"Activité sur  année incomplète","(1) Activité sur année complète.")</f>
        <v>Activité sur  année incomplète</v>
      </c>
      <c r="R26" s="243"/>
      <c r="S26" s="243"/>
      <c r="T26" s="243"/>
      <c r="U26" s="243"/>
      <c r="V26" s="243"/>
      <c r="W26" s="243"/>
      <c r="X26" s="243"/>
      <c r="Y26" s="243"/>
      <c r="Z26" s="244" t="s">
        <v>28</v>
      </c>
      <c r="AA26" s="244"/>
      <c r="AB26" s="244"/>
      <c r="AC26" s="389" t="e">
        <f>SUMPRODUCT(AC15:AC25,AH15:AH25)/SUM(AH15:AH25)</f>
        <v>#DIV/0!</v>
      </c>
      <c r="AD26" s="389"/>
      <c r="AE26" s="303" t="e">
        <f>SUMPRODUCT(AE15:AE25,AH15:AH25)/SUM(AH15:AH25)</f>
        <v>#DIV/0!</v>
      </c>
      <c r="AF26" s="303"/>
      <c r="AG26" s="303"/>
      <c r="AH26" s="360">
        <f>SUM(AH15:AH25)</f>
        <v>0</v>
      </c>
      <c r="AI26" s="303" t="e">
        <f>SUMPRODUCT(AI15:AI25,AH15:AH25)/SUM(AH15:AH25)</f>
        <v>#DIV/0!</v>
      </c>
      <c r="AJ26" s="303"/>
      <c r="AK26" s="303"/>
      <c r="AL26" s="303" t="e">
        <f>SUMPRODUCT(AL15:AL25,AH15:AH25)/SUM(AH15:AH25)</f>
        <v>#DIV/0!</v>
      </c>
      <c r="AM26" s="303"/>
      <c r="AN26" s="303"/>
      <c r="AP26" s="311" t="s">
        <v>10</v>
      </c>
      <c r="AQ26" s="311"/>
      <c r="AR26" s="311"/>
      <c r="AS26" s="311"/>
      <c r="AT26" s="311"/>
      <c r="AU26" s="311"/>
      <c r="AV26" s="311"/>
      <c r="AW26" s="295">
        <f>IF($AW$14-$AW$18-$AW$22&gt;=47,47,$AW$14-$AW$18-$AW$22)</f>
        <v>0</v>
      </c>
      <c r="AX26" s="295"/>
      <c r="AY26" s="295"/>
      <c r="AZ26" s="295"/>
      <c r="BA26" s="295"/>
      <c r="BB26" s="295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378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80"/>
      <c r="N27" s="242"/>
      <c r="O27" s="242"/>
      <c r="P27" s="242"/>
      <c r="Q27" s="243"/>
      <c r="R27" s="243"/>
      <c r="S27" s="243"/>
      <c r="T27" s="243"/>
      <c r="U27" s="243"/>
      <c r="V27" s="243"/>
      <c r="W27" s="243"/>
      <c r="X27" s="243"/>
      <c r="Y27" s="243"/>
      <c r="Z27" s="244"/>
      <c r="AA27" s="244"/>
      <c r="AB27" s="244"/>
      <c r="AC27" s="389"/>
      <c r="AD27" s="389"/>
      <c r="AE27" s="303"/>
      <c r="AF27" s="303"/>
      <c r="AG27" s="303"/>
      <c r="AH27" s="361"/>
      <c r="AI27" s="303"/>
      <c r="AJ27" s="303"/>
      <c r="AK27" s="303"/>
      <c r="AL27" s="303"/>
      <c r="AM27" s="303"/>
      <c r="AN27" s="303"/>
      <c r="AP27" s="311"/>
      <c r="AQ27" s="311"/>
      <c r="AR27" s="311"/>
      <c r="AS27" s="311"/>
      <c r="AT27" s="311"/>
      <c r="AU27" s="311"/>
      <c r="AV27" s="311"/>
      <c r="AW27" s="295"/>
      <c r="AX27" s="295"/>
      <c r="AY27" s="295"/>
      <c r="AZ27" s="295"/>
      <c r="BA27" s="295"/>
      <c r="BB27" s="295"/>
      <c r="BC27" s="173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381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3"/>
      <c r="N28" s="242"/>
      <c r="O28" s="242"/>
      <c r="P28" s="242"/>
      <c r="Q28" s="243"/>
      <c r="R28" s="243"/>
      <c r="S28" s="243"/>
      <c r="T28" s="243"/>
      <c r="U28" s="243"/>
      <c r="V28" s="243"/>
      <c r="W28" s="243"/>
      <c r="X28" s="243"/>
      <c r="Y28" s="243"/>
      <c r="Z28" s="244"/>
      <c r="AA28" s="244"/>
      <c r="AB28" s="244"/>
      <c r="AC28" s="389"/>
      <c r="AD28" s="389"/>
      <c r="AE28" s="303"/>
      <c r="AF28" s="303"/>
      <c r="AG28" s="303"/>
      <c r="AH28" s="362"/>
      <c r="AI28" s="303"/>
      <c r="AJ28" s="303"/>
      <c r="AK28" s="303"/>
      <c r="AL28" s="303"/>
      <c r="AM28" s="303"/>
      <c r="AN28" s="303"/>
      <c r="AP28" s="311"/>
      <c r="AQ28" s="311"/>
      <c r="AR28" s="311"/>
      <c r="AS28" s="311"/>
      <c r="AT28" s="311"/>
      <c r="AU28" s="311"/>
      <c r="AV28" s="311"/>
      <c r="AW28" s="295"/>
      <c r="AX28" s="295"/>
      <c r="AY28" s="295"/>
      <c r="AZ28" s="295"/>
      <c r="BA28" s="295"/>
      <c r="BB28" s="295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364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>(2) Activité sur année incomplète, le nombre de semaine travaillé est obligatoirement inférieur à 47 semaines. Les congés sont réglés en supplément</v>
      </c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73" t="s">
        <v>11</v>
      </c>
      <c r="C32" s="345"/>
      <c r="D32" s="345"/>
      <c r="E32" s="345"/>
      <c r="F32" s="345"/>
      <c r="G32" s="274"/>
      <c r="H32" s="261" t="s">
        <v>15</v>
      </c>
      <c r="I32" s="474"/>
      <c r="J32" s="262"/>
      <c r="K32" s="283" t="s">
        <v>18</v>
      </c>
      <c r="L32" s="261" t="s">
        <v>17</v>
      </c>
      <c r="M32" s="474"/>
      <c r="N32" s="262"/>
      <c r="O32" s="283" t="s">
        <v>19</v>
      </c>
      <c r="P32" s="273" t="s">
        <v>12</v>
      </c>
      <c r="Q32" s="274"/>
      <c r="R32" s="501" t="s">
        <v>20</v>
      </c>
      <c r="S32" s="394" t="s">
        <v>13</v>
      </c>
      <c r="T32" s="395"/>
      <c r="U32" s="396"/>
      <c r="V32" s="283" t="s">
        <v>18</v>
      </c>
      <c r="W32" s="273" t="s">
        <v>14</v>
      </c>
      <c r="X32" s="345"/>
      <c r="Y32" s="274"/>
      <c r="Z32" s="273" t="s">
        <v>41</v>
      </c>
      <c r="AA32" s="345"/>
      <c r="AB32" s="274"/>
      <c r="AC32" s="267" t="s">
        <v>18</v>
      </c>
      <c r="AD32" s="261" t="s">
        <v>16</v>
      </c>
      <c r="AE32" s="262"/>
      <c r="AF32" s="272" t="s">
        <v>101</v>
      </c>
      <c r="AG32" s="272"/>
      <c r="AH32" s="272"/>
      <c r="AI32" s="272"/>
      <c r="AK32" s="215" t="s">
        <v>98</v>
      </c>
      <c r="AL32" s="215"/>
      <c r="AM32" s="215"/>
      <c r="AN32" s="215"/>
      <c r="AP32" s="208" t="str">
        <f>IF(N26&lt;47,"Vous êtes en année incomplète","Vous êtes en année complète.")</f>
        <v>Vous êtes en année incomplète</v>
      </c>
      <c r="AQ32" s="208"/>
      <c r="AR32" s="208"/>
      <c r="AS32" s="208"/>
      <c r="AT32" s="208"/>
      <c r="AU32" s="208"/>
      <c r="AV32" s="208"/>
      <c r="AX32" s="227" t="s">
        <v>99</v>
      </c>
      <c r="AY32" s="228"/>
      <c r="AZ32" s="228"/>
      <c r="BA32" s="228"/>
      <c r="BB32" s="229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75"/>
      <c r="C33" s="346"/>
      <c r="D33" s="346"/>
      <c r="E33" s="346"/>
      <c r="F33" s="346"/>
      <c r="G33" s="276"/>
      <c r="H33" s="263"/>
      <c r="I33" s="475"/>
      <c r="J33" s="264"/>
      <c r="K33" s="284"/>
      <c r="L33" s="263"/>
      <c r="M33" s="475"/>
      <c r="N33" s="264"/>
      <c r="O33" s="284"/>
      <c r="P33" s="275"/>
      <c r="Q33" s="276"/>
      <c r="R33" s="502"/>
      <c r="S33" s="397"/>
      <c r="T33" s="398"/>
      <c r="U33" s="399"/>
      <c r="V33" s="284"/>
      <c r="W33" s="275"/>
      <c r="X33" s="346"/>
      <c r="Y33" s="276"/>
      <c r="Z33" s="275"/>
      <c r="AA33" s="346"/>
      <c r="AB33" s="276"/>
      <c r="AC33" s="268"/>
      <c r="AD33" s="263"/>
      <c r="AE33" s="264"/>
      <c r="AF33" s="272"/>
      <c r="AG33" s="272"/>
      <c r="AH33" s="272"/>
      <c r="AI33" s="272"/>
      <c r="AK33" s="215"/>
      <c r="AL33" s="215"/>
      <c r="AM33" s="215"/>
      <c r="AN33" s="215"/>
      <c r="AO33" s="7"/>
      <c r="AP33" s="208"/>
      <c r="AQ33" s="208"/>
      <c r="AR33" s="208"/>
      <c r="AS33" s="208"/>
      <c r="AT33" s="208"/>
      <c r="AU33" s="208"/>
      <c r="AV33" s="208"/>
      <c r="AX33" s="230"/>
      <c r="AY33" s="231"/>
      <c r="AZ33" s="231"/>
      <c r="BA33" s="231"/>
      <c r="BB33" s="232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75"/>
      <c r="C34" s="346"/>
      <c r="D34" s="346"/>
      <c r="E34" s="346"/>
      <c r="F34" s="346"/>
      <c r="G34" s="276"/>
      <c r="H34" s="263"/>
      <c r="I34" s="475"/>
      <c r="J34" s="264"/>
      <c r="K34" s="284"/>
      <c r="L34" s="263"/>
      <c r="M34" s="475"/>
      <c r="N34" s="264"/>
      <c r="O34" s="284"/>
      <c r="P34" s="275"/>
      <c r="Q34" s="276"/>
      <c r="R34" s="502"/>
      <c r="S34" s="397"/>
      <c r="T34" s="398"/>
      <c r="U34" s="399"/>
      <c r="V34" s="284"/>
      <c r="W34" s="275"/>
      <c r="X34" s="346"/>
      <c r="Y34" s="276"/>
      <c r="Z34" s="275"/>
      <c r="AA34" s="346"/>
      <c r="AB34" s="276"/>
      <c r="AC34" s="268"/>
      <c r="AD34" s="263"/>
      <c r="AE34" s="264"/>
      <c r="AF34" s="272"/>
      <c r="AG34" s="272"/>
      <c r="AH34" s="272"/>
      <c r="AI34" s="272"/>
      <c r="AK34" s="215"/>
      <c r="AL34" s="215"/>
      <c r="AM34" s="215"/>
      <c r="AN34" s="215"/>
      <c r="AO34"/>
      <c r="AP34" s="208"/>
      <c r="AQ34" s="208"/>
      <c r="AR34" s="208"/>
      <c r="AS34" s="208"/>
      <c r="AT34" s="208"/>
      <c r="AU34" s="208"/>
      <c r="AV34" s="208"/>
      <c r="AW34"/>
      <c r="AX34" s="230"/>
      <c r="AY34" s="231"/>
      <c r="AZ34" s="231"/>
      <c r="BA34" s="231"/>
      <c r="BB34" s="232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77"/>
      <c r="C35" s="347"/>
      <c r="D35" s="347"/>
      <c r="E35" s="347"/>
      <c r="F35" s="347"/>
      <c r="G35" s="278"/>
      <c r="H35" s="265"/>
      <c r="I35" s="476"/>
      <c r="J35" s="266"/>
      <c r="K35" s="285"/>
      <c r="L35" s="265"/>
      <c r="M35" s="476"/>
      <c r="N35" s="266"/>
      <c r="O35" s="285"/>
      <c r="P35" s="277"/>
      <c r="Q35" s="278"/>
      <c r="R35" s="503"/>
      <c r="S35" s="400"/>
      <c r="T35" s="401"/>
      <c r="U35" s="402"/>
      <c r="V35" s="285"/>
      <c r="W35" s="277"/>
      <c r="X35" s="347"/>
      <c r="Y35" s="278"/>
      <c r="Z35" s="277"/>
      <c r="AA35" s="347"/>
      <c r="AB35" s="278"/>
      <c r="AC35" s="269"/>
      <c r="AD35" s="265"/>
      <c r="AE35" s="266"/>
      <c r="AF35" s="272"/>
      <c r="AG35" s="272"/>
      <c r="AH35" s="272"/>
      <c r="AI35" s="272"/>
      <c r="AK35" s="215"/>
      <c r="AL35" s="215"/>
      <c r="AM35" s="215"/>
      <c r="AN35" s="215"/>
      <c r="AO35"/>
      <c r="AP35" s="208"/>
      <c r="AQ35" s="208"/>
      <c r="AR35" s="208"/>
      <c r="AS35" s="208"/>
      <c r="AT35" s="208"/>
      <c r="AU35" s="208"/>
      <c r="AV35" s="208"/>
      <c r="AX35" s="233"/>
      <c r="AY35" s="234"/>
      <c r="AZ35" s="234"/>
      <c r="BA35" s="234"/>
      <c r="BB35" s="2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72" t="s">
        <v>32</v>
      </c>
      <c r="C37" s="573"/>
      <c r="D37" s="573"/>
      <c r="E37" s="573"/>
      <c r="F37" s="573"/>
      <c r="G37" s="574"/>
      <c r="H37" s="368">
        <f>IF(ISBLANK(AC6),0,AI26)</f>
        <v>0</v>
      </c>
      <c r="I37" s="369"/>
      <c r="J37" s="370"/>
      <c r="K37" s="448" t="s">
        <v>18</v>
      </c>
      <c r="L37" s="495">
        <f>IF($AW$26=47,$AW$14,$AW$26)</f>
        <v>0</v>
      </c>
      <c r="M37" s="496"/>
      <c r="N37" s="497"/>
      <c r="O37" s="366" t="s">
        <v>19</v>
      </c>
      <c r="P37" s="579">
        <f>ROUND(DAYS360(AE3,AM3,30)/30,0)</f>
        <v>0</v>
      </c>
      <c r="Q37" s="580"/>
      <c r="R37" s="255" t="s">
        <v>20</v>
      </c>
      <c r="S37" s="286">
        <f>IF(P37=0,0,ROUND(H37*L37/P37,2))</f>
        <v>0</v>
      </c>
      <c r="T37" s="287"/>
      <c r="U37" s="288"/>
      <c r="V37" s="255" t="s">
        <v>18</v>
      </c>
      <c r="W37" s="245">
        <f>AC6</f>
        <v>0</v>
      </c>
      <c r="X37" s="246"/>
      <c r="Y37" s="247"/>
      <c r="Z37" s="245">
        <f>S37*W37</f>
        <v>0</v>
      </c>
      <c r="AA37" s="246"/>
      <c r="AB37" s="247"/>
      <c r="AC37" s="270" t="s">
        <v>18</v>
      </c>
      <c r="AD37" s="257">
        <f>Sources!H17</f>
        <v>0.21880250000000001</v>
      </c>
      <c r="AE37" s="258"/>
      <c r="AF37" s="202">
        <f>ROUND(Z37*(1-AD37),2)</f>
        <v>0</v>
      </c>
      <c r="AG37" s="203"/>
      <c r="AH37" s="203"/>
      <c r="AI37" s="204"/>
      <c r="AJ37" s="343" t="s">
        <v>100</v>
      </c>
      <c r="AK37" s="201">
        <f>AF37+AF40</f>
        <v>0</v>
      </c>
      <c r="AL37" s="201"/>
      <c r="AM37" s="201"/>
      <c r="AN37" s="201"/>
      <c r="AO37" s="7"/>
      <c r="AP37" s="212" t="str">
        <f>IF(N26&lt;47,"Calcul indicatif des congés","")</f>
        <v>Calcul indicatif des congés</v>
      </c>
      <c r="AQ37" s="212"/>
      <c r="AR37" s="212"/>
      <c r="AS37" s="212"/>
      <c r="AT37" s="212"/>
      <c r="AU37" s="212"/>
      <c r="AV37" s="212"/>
      <c r="AX37" s="217">
        <f>IF(N26=47,AK37*12,AK37*P37*1.11)</f>
        <v>0</v>
      </c>
      <c r="AY37" s="218"/>
      <c r="AZ37" s="218"/>
      <c r="BA37" s="218"/>
      <c r="BB37" s="219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75"/>
      <c r="C38" s="576"/>
      <c r="D38" s="576"/>
      <c r="E38" s="576"/>
      <c r="F38" s="576"/>
      <c r="G38" s="577"/>
      <c r="H38" s="371"/>
      <c r="I38" s="372"/>
      <c r="J38" s="373"/>
      <c r="K38" s="449"/>
      <c r="L38" s="498"/>
      <c r="M38" s="499"/>
      <c r="N38" s="500"/>
      <c r="O38" s="367"/>
      <c r="P38" s="581"/>
      <c r="Q38" s="582"/>
      <c r="R38" s="256"/>
      <c r="S38" s="289"/>
      <c r="T38" s="290"/>
      <c r="U38" s="291"/>
      <c r="V38" s="256"/>
      <c r="W38" s="248"/>
      <c r="X38" s="249"/>
      <c r="Y38" s="250"/>
      <c r="Z38" s="248"/>
      <c r="AA38" s="249"/>
      <c r="AB38" s="250"/>
      <c r="AC38" s="271"/>
      <c r="AD38" s="259"/>
      <c r="AE38" s="260"/>
      <c r="AF38" s="205"/>
      <c r="AG38" s="206"/>
      <c r="AH38" s="206"/>
      <c r="AI38" s="207"/>
      <c r="AJ38" s="343"/>
      <c r="AK38" s="201"/>
      <c r="AL38" s="201"/>
      <c r="AM38" s="201"/>
      <c r="AN38" s="201"/>
      <c r="AP38" s="212"/>
      <c r="AQ38" s="212"/>
      <c r="AR38" s="212"/>
      <c r="AS38" s="212"/>
      <c r="AT38" s="212"/>
      <c r="AU38" s="212"/>
      <c r="AV38" s="212"/>
      <c r="AW38" s="70"/>
      <c r="AX38" s="220"/>
      <c r="AY38" s="221"/>
      <c r="AZ38" s="221"/>
      <c r="BA38" s="221"/>
      <c r="BB38" s="222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344"/>
      <c r="AK39" s="201"/>
      <c r="AL39" s="201"/>
      <c r="AM39" s="201"/>
      <c r="AN39" s="201"/>
      <c r="AO39"/>
      <c r="AP39"/>
      <c r="AQ39"/>
      <c r="AR39"/>
      <c r="AS39"/>
      <c r="AT39"/>
      <c r="AU39"/>
      <c r="AV39"/>
      <c r="AW39" s="70"/>
      <c r="AX39" s="220"/>
      <c r="AY39" s="221"/>
      <c r="AZ39" s="221"/>
      <c r="BA39" s="221"/>
      <c r="BB39" s="222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89" t="s">
        <v>31</v>
      </c>
      <c r="C40" s="490"/>
      <c r="D40" s="490"/>
      <c r="E40" s="490"/>
      <c r="F40" s="490"/>
      <c r="G40" s="491"/>
      <c r="H40" s="368">
        <f>IF(ISBLANK(AC6),0,AL26)</f>
        <v>0</v>
      </c>
      <c r="I40" s="369"/>
      <c r="J40" s="370"/>
      <c r="K40" s="448" t="s">
        <v>18</v>
      </c>
      <c r="L40" s="495">
        <f>IF($AW$26=47,$AW$14,$AW$26)</f>
        <v>0</v>
      </c>
      <c r="M40" s="496"/>
      <c r="N40" s="497"/>
      <c r="O40" s="448" t="s">
        <v>19</v>
      </c>
      <c r="P40" s="251">
        <f>ROUND(DAYS360(AE3,AM3,30)/30,0)</f>
        <v>0</v>
      </c>
      <c r="Q40" s="252"/>
      <c r="R40" s="255" t="s">
        <v>20</v>
      </c>
      <c r="S40" s="286">
        <f>IF(P37=0,0,ROUND(H40*L40/P40,2))</f>
        <v>0</v>
      </c>
      <c r="T40" s="287"/>
      <c r="U40" s="288"/>
      <c r="V40" s="255" t="s">
        <v>18</v>
      </c>
      <c r="W40" s="245">
        <f>AC6+(AC6*R8)</f>
        <v>0</v>
      </c>
      <c r="X40" s="246"/>
      <c r="Y40" s="247"/>
      <c r="Z40" s="245">
        <f>S40*W40</f>
        <v>0</v>
      </c>
      <c r="AA40" s="246"/>
      <c r="AB40" s="247"/>
      <c r="AC40" s="255" t="s">
        <v>18</v>
      </c>
      <c r="AD40" s="257">
        <f>Sources!H18</f>
        <v>0.10570250000000003</v>
      </c>
      <c r="AE40" s="258"/>
      <c r="AF40" s="202">
        <f>ROUND(Z40*(1-AD40),2)</f>
        <v>0</v>
      </c>
      <c r="AG40" s="203"/>
      <c r="AH40" s="203"/>
      <c r="AI40" s="204"/>
      <c r="AJ40" s="343"/>
      <c r="AK40" s="201"/>
      <c r="AL40" s="201"/>
      <c r="AM40" s="201"/>
      <c r="AN40" s="201"/>
      <c r="AP40" s="201">
        <f>IF(N26&lt;47,AK37*0.11*P37,"")</f>
        <v>0</v>
      </c>
      <c r="AQ40" s="201"/>
      <c r="AR40" s="201"/>
      <c r="AS40" s="201"/>
      <c r="AT40" s="201"/>
      <c r="AU40" s="201"/>
      <c r="AV40" s="201"/>
      <c r="AX40" s="220"/>
      <c r="AY40" s="221"/>
      <c r="AZ40" s="221"/>
      <c r="BA40" s="221"/>
      <c r="BB40" s="222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92"/>
      <c r="C41" s="493"/>
      <c r="D41" s="493"/>
      <c r="E41" s="493"/>
      <c r="F41" s="493"/>
      <c r="G41" s="494"/>
      <c r="H41" s="371"/>
      <c r="I41" s="372"/>
      <c r="J41" s="373"/>
      <c r="K41" s="449"/>
      <c r="L41" s="498"/>
      <c r="M41" s="499"/>
      <c r="N41" s="500"/>
      <c r="O41" s="449"/>
      <c r="P41" s="253"/>
      <c r="Q41" s="254"/>
      <c r="R41" s="256"/>
      <c r="S41" s="289"/>
      <c r="T41" s="290"/>
      <c r="U41" s="291"/>
      <c r="V41" s="256"/>
      <c r="W41" s="248"/>
      <c r="X41" s="249"/>
      <c r="Y41" s="250"/>
      <c r="Z41" s="248"/>
      <c r="AA41" s="249"/>
      <c r="AB41" s="250"/>
      <c r="AC41" s="256"/>
      <c r="AD41" s="259"/>
      <c r="AE41" s="260"/>
      <c r="AF41" s="205"/>
      <c r="AG41" s="206"/>
      <c r="AH41" s="206"/>
      <c r="AI41" s="207"/>
      <c r="AJ41" s="343"/>
      <c r="AK41" s="201"/>
      <c r="AL41" s="201"/>
      <c r="AM41" s="201"/>
      <c r="AN41" s="201"/>
      <c r="AO41" s="5"/>
      <c r="AP41" s="201"/>
      <c r="AQ41" s="201"/>
      <c r="AR41" s="201"/>
      <c r="AS41" s="201"/>
      <c r="AT41" s="201"/>
      <c r="AU41" s="201"/>
      <c r="AV41" s="201"/>
      <c r="AX41" s="223"/>
      <c r="AY41" s="224"/>
      <c r="AZ41" s="224"/>
      <c r="BA41" s="224"/>
      <c r="BB41" s="225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279" t="s">
        <v>102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23" t="s">
        <v>103</v>
      </c>
      <c r="C45" s="431" t="s">
        <v>94</v>
      </c>
      <c r="D45" s="432"/>
      <c r="E45" s="432"/>
      <c r="F45" s="432"/>
      <c r="G45" s="432"/>
      <c r="H45" s="432"/>
      <c r="I45" s="432"/>
      <c r="J45" s="432"/>
      <c r="K45" s="432"/>
      <c r="L45" s="436"/>
      <c r="M45" s="437"/>
      <c r="N45" s="105"/>
      <c r="O45" s="375" t="s">
        <v>180</v>
      </c>
      <c r="P45" s="377"/>
      <c r="Q45" s="433" t="str">
        <f>IF(L45=0,"",L45*Q50)</f>
        <v/>
      </c>
      <c r="R45" s="434"/>
      <c r="S45" s="434"/>
      <c r="T45" s="435"/>
      <c r="U45" s="142"/>
      <c r="V45"/>
      <c r="AB45" s="359" t="s">
        <v>37</v>
      </c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Q45" s="32" t="s">
        <v>194</v>
      </c>
      <c r="AR45" s="33"/>
      <c r="AS45" s="33"/>
      <c r="AT45" s="33"/>
      <c r="AU45" s="33"/>
      <c r="AV45" s="33"/>
      <c r="AW45" s="33"/>
      <c r="AX45" s="33"/>
      <c r="AY45" s="33"/>
      <c r="AZ45" s="236">
        <f>IF(B55&lt;=0,0,R55/B55)</f>
        <v>0</v>
      </c>
      <c r="BA45" s="237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23"/>
      <c r="C46" s="77"/>
      <c r="I46" s="1"/>
      <c r="J46" s="1"/>
      <c r="K46" s="1"/>
      <c r="L46" s="155"/>
      <c r="M46" s="171"/>
      <c r="N46" s="79"/>
      <c r="O46" s="378"/>
      <c r="P46" s="380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23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36"/>
      <c r="M47" s="437"/>
      <c r="N47" s="105"/>
      <c r="O47" s="378"/>
      <c r="P47" s="380"/>
      <c r="Q47" s="433" t="str">
        <f>IF(L47=0,"",L47*Q50)</f>
        <v/>
      </c>
      <c r="R47" s="434"/>
      <c r="S47" s="434"/>
      <c r="T47" s="435"/>
      <c r="U47" s="142"/>
      <c r="V47"/>
      <c r="AB47" s="24" t="s">
        <v>191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13">
        <f>ROUND(S37*(1+IF(N26&lt;47,0.11,0)),0)</f>
        <v>0</v>
      </c>
      <c r="AO47" s="214"/>
      <c r="AQ47" s="216" t="str">
        <f>"si supérieur au plafond horaire " &amp;Sources!X21 &amp; " de " &amp; Sources!X22 &amp; " € le montant supplémentaire est non pris en charge par le CMG - les cotisations patronales sont dûes en sus"</f>
        <v>si supérieur au plafond horaire 2026 de 8,09 € le montant supplémentaire est non pris en charge par le CMG - les cotisations patronales sont dûes en sus</v>
      </c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6.75" customHeight="1" x14ac:dyDescent="0.2">
      <c r="B48" s="423"/>
      <c r="C48" s="77"/>
      <c r="I48" s="1"/>
      <c r="J48" s="1"/>
      <c r="K48" s="1"/>
      <c r="L48" s="155"/>
      <c r="M48" s="171"/>
      <c r="N48" s="79"/>
      <c r="O48" s="378"/>
      <c r="P48" s="380"/>
      <c r="Q48"/>
      <c r="R48"/>
      <c r="S48"/>
      <c r="T48"/>
      <c r="U48" s="142"/>
      <c r="V48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5" customHeight="1" x14ac:dyDescent="0.2">
      <c r="B49" s="424"/>
      <c r="C49" s="452" t="s">
        <v>95</v>
      </c>
      <c r="D49" s="453"/>
      <c r="E49" s="453"/>
      <c r="F49" s="453"/>
      <c r="G49" s="453"/>
      <c r="H49" s="453"/>
      <c r="I49" s="453"/>
      <c r="J49" s="453"/>
      <c r="K49" s="453"/>
      <c r="L49" s="465"/>
      <c r="M49" s="466"/>
      <c r="N49" s="105"/>
      <c r="O49" s="381"/>
      <c r="P49" s="383"/>
      <c r="Q49" s="454" t="str">
        <f>IF(L49=0,"",L49*Q50)</f>
        <v/>
      </c>
      <c r="R49" s="455"/>
      <c r="S49" s="455"/>
      <c r="T49" s="456"/>
      <c r="U49" s="142"/>
      <c r="V49"/>
      <c r="AB49" s="24" t="s">
        <v>197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13">
        <f>ROUND(S40*(1+IF(N26&lt;47,0.11,0)),0)</f>
        <v>0</v>
      </c>
      <c r="AO49" s="214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" customHeight="1" x14ac:dyDescent="0.2">
      <c r="B50" s="425" t="s">
        <v>181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40">
        <f>IF(ISBLANK(AC6),0,ROUND(4.33*AC26,0))</f>
        <v>0</v>
      </c>
      <c r="R50" s="440"/>
      <c r="S50" s="440"/>
      <c r="T50" s="440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6"/>
      <c r="T51" s="6"/>
      <c r="U51" s="216" t="str">
        <f>"si supérieur au plafond horaire " &amp;Sources!X21 &amp; " de " &amp; Sources!X22 &amp; " € le montant supplémentaire est non pris en charge par le CMG - les cotisations patronales sont dûes en sus"</f>
        <v>si supérieur au plafond horaire 2026 de 8,09 € le montant supplémentaire est non pris en charge par le CMG - les cotisations patronales sont dûes en sus</v>
      </c>
      <c r="V51" s="216"/>
      <c r="W51" s="216"/>
      <c r="X51" s="216"/>
      <c r="Y51" s="216"/>
      <c r="Z51" s="216"/>
      <c r="AA51" s="216"/>
      <c r="AB51" s="216"/>
      <c r="AC51" s="6"/>
      <c r="AD51" s="1"/>
      <c r="AE51" s="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6" customHeight="1" x14ac:dyDescent="0.2"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6"/>
      <c r="T52" s="6"/>
      <c r="U52" s="216"/>
      <c r="V52" s="216"/>
      <c r="W52" s="216"/>
      <c r="X52" s="216"/>
      <c r="Y52" s="216"/>
      <c r="Z52" s="216"/>
      <c r="AA52" s="216"/>
      <c r="AB52" s="216"/>
      <c r="AC52" s="6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39" t="s">
        <v>162</v>
      </c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194"/>
      <c r="T53" s="194"/>
      <c r="U53" s="374"/>
      <c r="V53" s="374"/>
      <c r="W53" s="374"/>
      <c r="X53" s="374"/>
      <c r="Y53" s="374"/>
      <c r="Z53" s="374"/>
      <c r="AA53" s="374"/>
      <c r="AB53" s="374"/>
      <c r="AC53" s="194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6" customHeight="1" x14ac:dyDescent="0.2">
      <c r="B54" s="445" t="s">
        <v>192</v>
      </c>
      <c r="C54" s="446"/>
      <c r="D54" s="447"/>
      <c r="E54" s="445" t="s">
        <v>173</v>
      </c>
      <c r="F54" s="446"/>
      <c r="G54" s="446"/>
      <c r="H54" s="447"/>
      <c r="I54" s="445" t="s">
        <v>157</v>
      </c>
      <c r="J54" s="446"/>
      <c r="K54" s="447"/>
      <c r="L54" s="445" t="s">
        <v>179</v>
      </c>
      <c r="M54" s="446"/>
      <c r="N54" s="447"/>
      <c r="O54" s="445" t="s">
        <v>158</v>
      </c>
      <c r="P54" s="446"/>
      <c r="Q54" s="447"/>
      <c r="R54" s="445" t="s">
        <v>193</v>
      </c>
      <c r="S54" s="446"/>
      <c r="T54" s="446"/>
      <c r="U54" s="447"/>
      <c r="V54" s="445" t="s">
        <v>160</v>
      </c>
      <c r="W54" s="446"/>
      <c r="X54" s="447"/>
      <c r="Y54" s="445" t="s">
        <v>159</v>
      </c>
      <c r="Z54" s="446"/>
      <c r="AA54" s="447"/>
      <c r="AB54" s="445" t="s">
        <v>166</v>
      </c>
      <c r="AC54" s="446"/>
      <c r="AD54" s="447"/>
      <c r="AE54" s="584" t="s">
        <v>174</v>
      </c>
      <c r="AF54" s="586"/>
      <c r="AG54" s="584" t="s">
        <v>168</v>
      </c>
      <c r="AH54" s="586"/>
      <c r="AI54" s="584" t="s">
        <v>169</v>
      </c>
      <c r="AJ54" s="585"/>
      <c r="AK54" s="585"/>
      <c r="AL54" s="586"/>
      <c r="AM54" s="210" t="s">
        <v>195</v>
      </c>
      <c r="AN54" s="210"/>
      <c r="AO54" s="210"/>
      <c r="AP54" s="210" t="s">
        <v>196</v>
      </c>
      <c r="AQ54" s="210"/>
      <c r="AR54" s="210"/>
      <c r="AS54" s="210" t="s">
        <v>172</v>
      </c>
      <c r="AT54" s="210"/>
      <c r="AU54" s="210"/>
      <c r="AV54" s="210"/>
      <c r="AW54" s="210" t="s">
        <v>33</v>
      </c>
      <c r="AX54" s="210"/>
      <c r="AY54" s="210"/>
      <c r="AZ54" s="210" t="s">
        <v>184</v>
      </c>
      <c r="BA54" s="210"/>
      <c r="BB54" s="210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2:69" ht="26.25" customHeight="1" x14ac:dyDescent="0.2">
      <c r="B55" s="590">
        <f>AN47+AN49</f>
        <v>0</v>
      </c>
      <c r="C55" s="468"/>
      <c r="D55" s="469"/>
      <c r="E55" s="591">
        <f>AK37</f>
        <v>0</v>
      </c>
      <c r="F55" s="468"/>
      <c r="G55" s="468"/>
      <c r="H55" s="469"/>
      <c r="I55" s="467">
        <f>L45+L47+L49</f>
        <v>0</v>
      </c>
      <c r="J55" s="468"/>
      <c r="K55" s="469"/>
      <c r="L55" s="587">
        <f>Q50</f>
        <v>0</v>
      </c>
      <c r="M55" s="588"/>
      <c r="N55" s="589"/>
      <c r="O55" s="467">
        <f>ROUND(I55*L55,2)</f>
        <v>0</v>
      </c>
      <c r="P55" s="468"/>
      <c r="Q55" s="469"/>
      <c r="R55" s="605" t="e">
        <f>ROUND((net_annuel/P37)+O55,2)</f>
        <v>#DIV/0!</v>
      </c>
      <c r="S55" s="548"/>
      <c r="T55" s="548"/>
      <c r="U55" s="549"/>
      <c r="V55" s="467">
        <f>ROUND(IF(B55&lt;=0,0,IF(R55/B55&gt;CMG_Plafond,CMG_Plafond,R55/B55)),2)</f>
        <v>0</v>
      </c>
      <c r="W55" s="548"/>
      <c r="X55" s="549"/>
      <c r="Y55" s="467">
        <f>ROUND(V55*B55,2)</f>
        <v>0</v>
      </c>
      <c r="Z55" s="548"/>
      <c r="AA55" s="549"/>
      <c r="AB55" s="467">
        <f>CMG_Ref</f>
        <v>4.91</v>
      </c>
      <c r="AC55" s="548"/>
      <c r="AD55" s="549"/>
      <c r="AE55" s="597" t="s">
        <v>167</v>
      </c>
      <c r="AF55" s="598"/>
      <c r="AG55" s="599"/>
      <c r="AH55" s="600"/>
      <c r="AI55" s="594">
        <f>MAX(0,Y55*(1-(AG55*(VALUE(LEFT(AE55,6))/100)/AB55)))</f>
        <v>0</v>
      </c>
      <c r="AJ55" s="595"/>
      <c r="AK55" s="595"/>
      <c r="AL55" s="596"/>
      <c r="AM55" s="241">
        <f>AI55*12</f>
        <v>0</v>
      </c>
      <c r="AN55" s="241"/>
      <c r="AO55" s="241"/>
      <c r="AP55" s="583" t="e">
        <f>ROUND((R55*12)-AM55,0)</f>
        <v>#DIV/0!</v>
      </c>
      <c r="AQ55" s="241"/>
      <c r="AR55" s="241"/>
      <c r="AS55" s="211" t="e">
        <f>IF(AP55&gt;P_plafond_impôt,(P_plafond_impôt/2),AP55/2)</f>
        <v>#DIV/0!</v>
      </c>
      <c r="AT55" s="211"/>
      <c r="AU55" s="211"/>
      <c r="AV55" s="211"/>
      <c r="AW55" s="241" t="e">
        <f>MAX(0,AP55-AS55)</f>
        <v>#DIV/0!</v>
      </c>
      <c r="AX55" s="241"/>
      <c r="AY55" s="241"/>
      <c r="AZ55" s="583" t="e">
        <f>ROUND(AW55/12,2)</f>
        <v>#DIV/0!</v>
      </c>
      <c r="BA55" s="241"/>
      <c r="BB55" s="241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61" t="s">
        <v>190</v>
      </c>
      <c r="AG56" s="561"/>
      <c r="AH56" s="561"/>
      <c r="AI56" s="561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2:69" ht="15" customHeight="1" x14ac:dyDescent="0.2">
      <c r="B57" s="184" t="s">
        <v>170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38"/>
      <c r="AX57" s="238"/>
      <c r="AY57" s="238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2:69" ht="22.5" customHeight="1" x14ac:dyDescent="0.2">
      <c r="B58" s="445" t="s">
        <v>163</v>
      </c>
      <c r="C58" s="446"/>
      <c r="D58" s="447"/>
      <c r="E58" s="445" t="s">
        <v>171</v>
      </c>
      <c r="F58" s="446"/>
      <c r="G58" s="446"/>
      <c r="H58" s="447"/>
      <c r="I58" s="186"/>
      <c r="J58" s="445" t="s">
        <v>163</v>
      </c>
      <c r="K58" s="446"/>
      <c r="L58" s="447"/>
      <c r="M58" s="445" t="s">
        <v>171</v>
      </c>
      <c r="N58" s="446"/>
      <c r="O58" s="446"/>
      <c r="P58" s="447"/>
      <c r="Q58" s="186"/>
      <c r="R58" s="445" t="s">
        <v>163</v>
      </c>
      <c r="S58" s="446"/>
      <c r="T58" s="446"/>
      <c r="U58" s="447"/>
      <c r="V58" s="445" t="s">
        <v>171</v>
      </c>
      <c r="W58" s="446"/>
      <c r="X58" s="447"/>
      <c r="Y58" s="188"/>
      <c r="Z58" s="445" t="s">
        <v>163</v>
      </c>
      <c r="AA58" s="446"/>
      <c r="AB58" s="447"/>
      <c r="AC58" s="210" t="s">
        <v>171</v>
      </c>
      <c r="AD58" s="210"/>
      <c r="AE58" s="21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39"/>
      <c r="AQ58" s="239"/>
      <c r="AR58" s="239"/>
      <c r="AS58" s="186"/>
      <c r="AU58"/>
      <c r="AV58"/>
      <c r="AW58" s="238"/>
      <c r="AX58" s="238"/>
      <c r="AY58" s="23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2:69" ht="15" customHeight="1" x14ac:dyDescent="0.2">
      <c r="B59" s="442">
        <v>500</v>
      </c>
      <c r="C59" s="443"/>
      <c r="D59" s="444"/>
      <c r="E59" s="280">
        <f t="shared" ref="E59:E65" si="0">MAX(0,$Y$55*(1-(B59*(VALUE(LEFT($AE$55,6))/100)/$AB$55)))</f>
        <v>0</v>
      </c>
      <c r="F59" s="281"/>
      <c r="G59" s="281"/>
      <c r="H59" s="282"/>
      <c r="I59" s="186"/>
      <c r="J59" s="442">
        <f>B65+250</f>
        <v>2250</v>
      </c>
      <c r="K59" s="443"/>
      <c r="L59" s="444"/>
      <c r="M59" s="280">
        <f t="shared" ref="M59:M65" si="1">MAX(0,$Y$55*(1-(J59*(VALUE(LEFT($AE$55,6))/100)/$AB$55)))</f>
        <v>0</v>
      </c>
      <c r="N59" s="281"/>
      <c r="O59" s="281"/>
      <c r="P59" s="282"/>
      <c r="Q59" s="186"/>
      <c r="R59" s="442">
        <f>J65+250</f>
        <v>4000</v>
      </c>
      <c r="S59" s="443"/>
      <c r="T59" s="443"/>
      <c r="U59" s="444"/>
      <c r="V59" s="280">
        <f t="shared" ref="V59:V65" si="2">MAX(0,$Y$55*(1-(R59*(VALUE(LEFT($AE$55,6))/100)/$AB$55)))</f>
        <v>0</v>
      </c>
      <c r="W59" s="281"/>
      <c r="X59" s="282"/>
      <c r="Y59" s="188"/>
      <c r="Z59" s="442">
        <f>R65+250</f>
        <v>5750</v>
      </c>
      <c r="AA59" s="443"/>
      <c r="AB59" s="444"/>
      <c r="AC59" s="363">
        <f t="shared" ref="AC59:AC65" si="3">MAX(0,$Y$55*(1-(Z59*(VALUE(LEFT($AE$55,6))/100)/$AB$55)))</f>
        <v>0</v>
      </c>
      <c r="AD59" s="363"/>
      <c r="AE59" s="363"/>
      <c r="AG59" s="593"/>
      <c r="AH59" s="593"/>
      <c r="AI59" s="593"/>
      <c r="AJ59" s="592"/>
      <c r="AK59" s="592"/>
      <c r="AL59" s="592"/>
      <c r="AM59" s="592"/>
      <c r="AN59" s="186"/>
      <c r="AO59" s="186"/>
      <c r="AP59" s="239"/>
      <c r="AQ59" s="239"/>
      <c r="AR59" s="239"/>
      <c r="AS59" s="209"/>
      <c r="AT59" s="209"/>
      <c r="AU59" s="209"/>
      <c r="AV59"/>
      <c r="AW59" s="238"/>
      <c r="AX59" s="238"/>
      <c r="AY59" s="238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2:69" ht="15" customHeight="1" x14ac:dyDescent="0.2">
      <c r="B60" s="442">
        <f t="shared" ref="B60:B65" si="4">B59+250</f>
        <v>750</v>
      </c>
      <c r="C60" s="443"/>
      <c r="D60" s="444"/>
      <c r="E60" s="280">
        <f t="shared" si="0"/>
        <v>0</v>
      </c>
      <c r="F60" s="281"/>
      <c r="G60" s="281"/>
      <c r="H60" s="282"/>
      <c r="I60" s="186"/>
      <c r="J60" s="442">
        <f t="shared" ref="J60:J65" si="5">J59+250</f>
        <v>2500</v>
      </c>
      <c r="K60" s="443"/>
      <c r="L60" s="444"/>
      <c r="M60" s="280">
        <f t="shared" si="1"/>
        <v>0</v>
      </c>
      <c r="N60" s="281"/>
      <c r="O60" s="281"/>
      <c r="P60" s="282"/>
      <c r="Q60" s="186"/>
      <c r="R60" s="442">
        <f t="shared" ref="R60:R65" si="6">R59+250</f>
        <v>4250</v>
      </c>
      <c r="S60" s="443"/>
      <c r="T60" s="443"/>
      <c r="U60" s="444"/>
      <c r="V60" s="280">
        <f t="shared" si="2"/>
        <v>0</v>
      </c>
      <c r="W60" s="281"/>
      <c r="X60" s="282"/>
      <c r="Y60" s="188"/>
      <c r="Z60" s="442">
        <f t="shared" ref="Z60:Z65" si="7">Z59+500</f>
        <v>6250</v>
      </c>
      <c r="AA60" s="443"/>
      <c r="AB60" s="444"/>
      <c r="AC60" s="363">
        <f t="shared" si="3"/>
        <v>0</v>
      </c>
      <c r="AD60" s="363"/>
      <c r="AE60" s="363"/>
      <c r="AG60" s="186"/>
      <c r="AH60" s="186"/>
      <c r="AI60" s="186"/>
      <c r="AJ60" s="186"/>
      <c r="AK60" s="186"/>
      <c r="AL60" s="186"/>
      <c r="AM60" s="186"/>
      <c r="AN60" s="186"/>
      <c r="AO60" s="186"/>
      <c r="AP60" s="209"/>
      <c r="AQ60" s="240"/>
      <c r="AR60" s="240"/>
      <c r="AS60" s="209"/>
      <c r="AT60" s="209"/>
      <c r="AU60" s="209"/>
      <c r="AV60" s="186"/>
      <c r="AW60" s="238"/>
      <c r="AX60" s="238"/>
      <c r="AY60" s="238"/>
      <c r="AZ60" s="186"/>
      <c r="BA60" s="186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442">
        <f t="shared" si="4"/>
        <v>1000</v>
      </c>
      <c r="C61" s="443"/>
      <c r="D61" s="444"/>
      <c r="E61" s="280">
        <f t="shared" si="0"/>
        <v>0</v>
      </c>
      <c r="F61" s="281"/>
      <c r="G61" s="281"/>
      <c r="H61" s="282"/>
      <c r="I61" s="186"/>
      <c r="J61" s="442">
        <f t="shared" si="5"/>
        <v>2750</v>
      </c>
      <c r="K61" s="443"/>
      <c r="L61" s="444"/>
      <c r="M61" s="280">
        <f t="shared" si="1"/>
        <v>0</v>
      </c>
      <c r="N61" s="281"/>
      <c r="O61" s="281"/>
      <c r="P61" s="282"/>
      <c r="Q61" s="186"/>
      <c r="R61" s="442">
        <f t="shared" si="6"/>
        <v>4500</v>
      </c>
      <c r="S61" s="443"/>
      <c r="T61" s="443"/>
      <c r="U61" s="444"/>
      <c r="V61" s="280">
        <f t="shared" si="2"/>
        <v>0</v>
      </c>
      <c r="W61" s="281"/>
      <c r="X61" s="282"/>
      <c r="Y61" s="188"/>
      <c r="Z61" s="442">
        <f t="shared" si="7"/>
        <v>6750</v>
      </c>
      <c r="AA61" s="443"/>
      <c r="AB61" s="444"/>
      <c r="AC61" s="363">
        <f t="shared" si="3"/>
        <v>0</v>
      </c>
      <c r="AD61" s="363"/>
      <c r="AE61" s="363"/>
      <c r="AG61" s="186"/>
      <c r="AH61" s="186"/>
      <c r="AI61" s="186"/>
      <c r="AJ61" s="240"/>
      <c r="AK61" s="240"/>
      <c r="AL61" s="240"/>
      <c r="AM61" s="186"/>
      <c r="AN61" s="186"/>
      <c r="AO61" s="186"/>
      <c r="AP61" s="240"/>
      <c r="AQ61" s="240"/>
      <c r="AR61" s="240"/>
      <c r="AS61" s="209"/>
      <c r="AT61" s="209"/>
      <c r="AU61" s="209"/>
      <c r="AV61" s="186"/>
      <c r="AW61" s="238"/>
      <c r="AX61" s="238"/>
      <c r="AY61" s="238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442">
        <f t="shared" si="4"/>
        <v>1250</v>
      </c>
      <c r="C62" s="443"/>
      <c r="D62" s="444"/>
      <c r="E62" s="280">
        <f t="shared" si="0"/>
        <v>0</v>
      </c>
      <c r="F62" s="281"/>
      <c r="G62" s="281"/>
      <c r="H62" s="282"/>
      <c r="I62" s="186"/>
      <c r="J62" s="442">
        <f t="shared" si="5"/>
        <v>3000</v>
      </c>
      <c r="K62" s="443"/>
      <c r="L62" s="444"/>
      <c r="M62" s="280">
        <f t="shared" si="1"/>
        <v>0</v>
      </c>
      <c r="N62" s="281"/>
      <c r="O62" s="281"/>
      <c r="P62" s="282"/>
      <c r="Q62" s="186"/>
      <c r="R62" s="442">
        <f t="shared" si="6"/>
        <v>4750</v>
      </c>
      <c r="S62" s="443"/>
      <c r="T62" s="443"/>
      <c r="U62" s="444"/>
      <c r="V62" s="280">
        <f t="shared" si="2"/>
        <v>0</v>
      </c>
      <c r="W62" s="281"/>
      <c r="X62" s="282"/>
      <c r="Y62" s="188"/>
      <c r="Z62" s="442">
        <f t="shared" si="7"/>
        <v>7250</v>
      </c>
      <c r="AA62" s="443"/>
      <c r="AB62" s="444"/>
      <c r="AC62" s="363">
        <f t="shared" si="3"/>
        <v>0</v>
      </c>
      <c r="AD62" s="363"/>
      <c r="AE62" s="363"/>
      <c r="AG62" s="186"/>
      <c r="AH62" s="186"/>
      <c r="AI62" s="186"/>
      <c r="AJ62" s="240"/>
      <c r="AK62" s="240"/>
      <c r="AL62" s="240"/>
      <c r="AM62" s="186"/>
      <c r="AN62" s="186"/>
      <c r="AO62" s="186"/>
      <c r="AP62" s="240"/>
      <c r="AQ62" s="240"/>
      <c r="AR62" s="240"/>
      <c r="AS62" s="209"/>
      <c r="AT62" s="209"/>
      <c r="AU62" s="209"/>
      <c r="AV62" s="186"/>
      <c r="AW62" s="238"/>
      <c r="AX62" s="238"/>
      <c r="AY62" s="238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442">
        <f t="shared" si="4"/>
        <v>1500</v>
      </c>
      <c r="C63" s="443"/>
      <c r="D63" s="444"/>
      <c r="E63" s="280">
        <f t="shared" si="0"/>
        <v>0</v>
      </c>
      <c r="F63" s="281"/>
      <c r="G63" s="281"/>
      <c r="H63" s="282"/>
      <c r="I63" s="186"/>
      <c r="J63" s="442">
        <f t="shared" si="5"/>
        <v>3250</v>
      </c>
      <c r="K63" s="443"/>
      <c r="L63" s="444"/>
      <c r="M63" s="280">
        <f t="shared" si="1"/>
        <v>0</v>
      </c>
      <c r="N63" s="281"/>
      <c r="O63" s="281"/>
      <c r="P63" s="282"/>
      <c r="Q63" s="186"/>
      <c r="R63" s="442">
        <f t="shared" si="6"/>
        <v>5000</v>
      </c>
      <c r="S63" s="443"/>
      <c r="T63" s="443"/>
      <c r="U63" s="444"/>
      <c r="V63" s="280">
        <f t="shared" si="2"/>
        <v>0</v>
      </c>
      <c r="W63" s="281"/>
      <c r="X63" s="282"/>
      <c r="Y63" s="188"/>
      <c r="Z63" s="442">
        <f t="shared" si="7"/>
        <v>7750</v>
      </c>
      <c r="AA63" s="443"/>
      <c r="AB63" s="444"/>
      <c r="AC63" s="363">
        <f t="shared" si="3"/>
        <v>0</v>
      </c>
      <c r="AD63" s="363"/>
      <c r="AE63" s="363"/>
      <c r="AG63" s="186"/>
      <c r="AH63" s="186"/>
      <c r="AI63" s="186"/>
      <c r="AJ63" s="240"/>
      <c r="AK63" s="240"/>
      <c r="AL63" s="240"/>
      <c r="AM63" s="186"/>
      <c r="AN63" s="186"/>
      <c r="AO63" s="186"/>
      <c r="AP63" s="240"/>
      <c r="AQ63" s="240"/>
      <c r="AR63" s="240"/>
      <c r="AS63" s="209"/>
      <c r="AT63" s="209"/>
      <c r="AU63" s="209"/>
      <c r="AV63" s="186"/>
      <c r="AW63" s="238"/>
      <c r="AX63" s="238"/>
      <c r="AY63" s="238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442">
        <f t="shared" si="4"/>
        <v>1750</v>
      </c>
      <c r="C64" s="443"/>
      <c r="D64" s="444"/>
      <c r="E64" s="280">
        <f t="shared" si="0"/>
        <v>0</v>
      </c>
      <c r="F64" s="281"/>
      <c r="G64" s="281"/>
      <c r="H64" s="282"/>
      <c r="I64" s="186"/>
      <c r="J64" s="442">
        <f t="shared" si="5"/>
        <v>3500</v>
      </c>
      <c r="K64" s="443"/>
      <c r="L64" s="444"/>
      <c r="M64" s="280">
        <f t="shared" si="1"/>
        <v>0</v>
      </c>
      <c r="N64" s="281"/>
      <c r="O64" s="281"/>
      <c r="P64" s="282"/>
      <c r="Q64" s="186"/>
      <c r="R64" s="442">
        <f t="shared" si="6"/>
        <v>5250</v>
      </c>
      <c r="S64" s="443"/>
      <c r="T64" s="443"/>
      <c r="U64" s="444"/>
      <c r="V64" s="280">
        <f t="shared" si="2"/>
        <v>0</v>
      </c>
      <c r="W64" s="281"/>
      <c r="X64" s="282"/>
      <c r="Y64" s="188"/>
      <c r="Z64" s="442">
        <f t="shared" si="7"/>
        <v>8250</v>
      </c>
      <c r="AA64" s="443"/>
      <c r="AB64" s="444"/>
      <c r="AC64" s="363">
        <f t="shared" si="3"/>
        <v>0</v>
      </c>
      <c r="AD64" s="363"/>
      <c r="AE64" s="363"/>
      <c r="AG64" s="186"/>
      <c r="AH64" s="186"/>
      <c r="AI64" s="186"/>
      <c r="AJ64" s="240"/>
      <c r="AK64" s="240"/>
      <c r="AL64" s="240"/>
      <c r="AM64" s="186"/>
      <c r="AN64" s="186"/>
      <c r="AO64" s="186"/>
      <c r="AP64" s="240"/>
      <c r="AQ64" s="240"/>
      <c r="AR64" s="240"/>
      <c r="AS64" s="209"/>
      <c r="AT64" s="209"/>
      <c r="AU64" s="209"/>
      <c r="AV64" s="186"/>
      <c r="AW64" s="238"/>
      <c r="AX64" s="238"/>
      <c r="AY64" s="238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442">
        <f t="shared" si="4"/>
        <v>2000</v>
      </c>
      <c r="C65" s="443"/>
      <c r="D65" s="444"/>
      <c r="E65" s="280">
        <f t="shared" si="0"/>
        <v>0</v>
      </c>
      <c r="F65" s="281"/>
      <c r="G65" s="281"/>
      <c r="H65" s="282"/>
      <c r="I65" s="186"/>
      <c r="J65" s="442">
        <f t="shared" si="5"/>
        <v>3750</v>
      </c>
      <c r="K65" s="443"/>
      <c r="L65" s="444"/>
      <c r="M65" s="280">
        <f t="shared" si="1"/>
        <v>0</v>
      </c>
      <c r="N65" s="281"/>
      <c r="O65" s="281"/>
      <c r="P65" s="282"/>
      <c r="Q65" s="186"/>
      <c r="R65" s="442">
        <f t="shared" si="6"/>
        <v>5500</v>
      </c>
      <c r="S65" s="443"/>
      <c r="T65" s="443"/>
      <c r="U65" s="444"/>
      <c r="V65" s="280">
        <f t="shared" si="2"/>
        <v>0</v>
      </c>
      <c r="W65" s="281"/>
      <c r="X65" s="282"/>
      <c r="Y65" s="188"/>
      <c r="Z65" s="442">
        <f t="shared" si="7"/>
        <v>8750</v>
      </c>
      <c r="AA65" s="443"/>
      <c r="AB65" s="444"/>
      <c r="AC65" s="363">
        <f t="shared" si="3"/>
        <v>0</v>
      </c>
      <c r="AD65" s="363"/>
      <c r="AE65" s="363"/>
      <c r="AG65" s="186"/>
      <c r="AH65" s="186"/>
      <c r="AI65" s="186"/>
      <c r="AJ65" s="240"/>
      <c r="AK65" s="240"/>
      <c r="AL65" s="240"/>
      <c r="AM65" s="186"/>
      <c r="AN65" s="186"/>
      <c r="AO65" s="186"/>
      <c r="AP65" s="240"/>
      <c r="AQ65" s="240"/>
      <c r="AR65" s="240"/>
      <c r="AS65" s="209"/>
      <c r="AT65" s="209"/>
      <c r="AU65" s="20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186</v>
      </c>
      <c r="C67" s="192"/>
      <c r="D67" s="192"/>
      <c r="E67" s="192"/>
      <c r="F67" s="192"/>
      <c r="G67" s="192"/>
      <c r="H67" s="192"/>
      <c r="I67" s="192"/>
      <c r="J67" s="193"/>
      <c r="K67" s="441" t="s">
        <v>185</v>
      </c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187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78" t="s">
        <v>188</v>
      </c>
      <c r="C72" s="578"/>
      <c r="D72" s="578"/>
      <c r="E72" s="578"/>
      <c r="F72" s="578"/>
      <c r="G72" s="578"/>
      <c r="H72" s="578"/>
      <c r="I72" s="578"/>
      <c r="J72" s="578"/>
      <c r="K72" s="578"/>
      <c r="L72" s="578"/>
      <c r="M72" s="578"/>
      <c r="N72" s="578"/>
      <c r="O72" s="578"/>
      <c r="P72" s="578"/>
      <c r="Q72" s="578"/>
      <c r="R72" s="578"/>
      <c r="S72" s="578"/>
      <c r="T72" s="578"/>
      <c r="U72" s="578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504" t="str">
        <f>Sources!H33</f>
        <v>Ressources annuelles 2023*
Jusqu’au 31/12/2025</v>
      </c>
      <c r="C73" s="505"/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5"/>
      <c r="S73" s="506"/>
      <c r="T73" s="451" t="s">
        <v>129</v>
      </c>
      <c r="U73" s="451"/>
      <c r="V73" s="451"/>
      <c r="W73" s="451"/>
      <c r="X73" s="451"/>
      <c r="Y73" s="451"/>
      <c r="Z73" s="451"/>
      <c r="AA73" s="451"/>
      <c r="AB73" s="505" t="s">
        <v>49</v>
      </c>
      <c r="AC73" s="505"/>
      <c r="AD73" s="505"/>
      <c r="AE73" s="506"/>
      <c r="AF73" s="348" t="s">
        <v>128</v>
      </c>
      <c r="AG73" s="349"/>
      <c r="AH73" s="349"/>
      <c r="AI73" s="349"/>
      <c r="AJ73" s="350"/>
      <c r="AK73" s="70"/>
      <c r="AL73" s="562" t="s">
        <v>127</v>
      </c>
      <c r="AM73" s="563"/>
      <c r="AN73" s="564"/>
      <c r="AO73" s="552" t="s">
        <v>33</v>
      </c>
      <c r="AP73" s="553"/>
      <c r="AQ73" s="554"/>
      <c r="AR73" s="552" t="s">
        <v>131</v>
      </c>
      <c r="AS73" s="553"/>
      <c r="AT73" s="553"/>
      <c r="AU73" s="553"/>
      <c r="AV73" s="553"/>
      <c r="AW73" s="553"/>
      <c r="AX73" s="554"/>
      <c r="AY73" s="542" t="s">
        <v>130</v>
      </c>
      <c r="AZ73" s="542"/>
      <c r="BA73" s="54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27"/>
      <c r="C74" s="428"/>
      <c r="D74" s="428"/>
      <c r="E74" s="428"/>
      <c r="F74" s="153"/>
      <c r="G74" s="153"/>
      <c r="H74" s="426" t="s">
        <v>21</v>
      </c>
      <c r="I74" s="426"/>
      <c r="J74" s="426"/>
      <c r="K74" s="426" t="s">
        <v>22</v>
      </c>
      <c r="L74" s="426"/>
      <c r="M74" s="426"/>
      <c r="N74" s="450" t="s">
        <v>23</v>
      </c>
      <c r="O74" s="450"/>
      <c r="P74" s="450"/>
      <c r="Q74" s="451" t="s">
        <v>124</v>
      </c>
      <c r="R74" s="451"/>
      <c r="S74" s="451"/>
      <c r="T74" s="451"/>
      <c r="U74" s="451"/>
      <c r="V74" s="451"/>
      <c r="W74" s="451"/>
      <c r="X74" s="451"/>
      <c r="Y74" s="451"/>
      <c r="Z74" s="451"/>
      <c r="AA74" s="451"/>
      <c r="AB74" s="428"/>
      <c r="AC74" s="428"/>
      <c r="AD74" s="428"/>
      <c r="AE74" s="550"/>
      <c r="AF74" s="351"/>
      <c r="AG74" s="352"/>
      <c r="AH74" s="352"/>
      <c r="AI74" s="352"/>
      <c r="AJ74" s="353"/>
      <c r="AK74" s="70"/>
      <c r="AL74" s="565"/>
      <c r="AM74" s="566"/>
      <c r="AN74" s="567"/>
      <c r="AO74" s="555"/>
      <c r="AP74" s="556"/>
      <c r="AQ74" s="557"/>
      <c r="AR74" s="555"/>
      <c r="AS74" s="556"/>
      <c r="AT74" s="556"/>
      <c r="AU74" s="556"/>
      <c r="AV74" s="556"/>
      <c r="AW74" s="556"/>
      <c r="AX74" s="557"/>
      <c r="AY74" s="544"/>
      <c r="AZ74" s="544"/>
      <c r="BA74" s="545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29"/>
      <c r="C75" s="430"/>
      <c r="D75" s="430"/>
      <c r="E75" s="430"/>
      <c r="F75" s="154"/>
      <c r="G75" s="154"/>
      <c r="H75" s="426"/>
      <c r="I75" s="426"/>
      <c r="J75" s="426"/>
      <c r="K75" s="426"/>
      <c r="L75" s="426"/>
      <c r="M75" s="426"/>
      <c r="N75" s="450"/>
      <c r="O75" s="450"/>
      <c r="P75" s="450"/>
      <c r="Q75" s="451"/>
      <c r="R75" s="451"/>
      <c r="S75" s="451"/>
      <c r="T75" s="451"/>
      <c r="U75" s="451"/>
      <c r="V75" s="451"/>
      <c r="W75" s="451"/>
      <c r="X75" s="451"/>
      <c r="Y75" s="451"/>
      <c r="Z75" s="451"/>
      <c r="AA75" s="451"/>
      <c r="AB75" s="430"/>
      <c r="AC75" s="430"/>
      <c r="AD75" s="430"/>
      <c r="AE75" s="551"/>
      <c r="AF75" s="354"/>
      <c r="AG75" s="355"/>
      <c r="AH75" s="355"/>
      <c r="AI75" s="355"/>
      <c r="AJ75" s="356"/>
      <c r="AK75" s="70"/>
      <c r="AL75" s="568"/>
      <c r="AM75" s="569"/>
      <c r="AN75" s="570"/>
      <c r="AO75" s="558"/>
      <c r="AP75" s="559"/>
      <c r="AQ75" s="560"/>
      <c r="AR75" s="558"/>
      <c r="AS75" s="559"/>
      <c r="AT75" s="559"/>
      <c r="AU75" s="559"/>
      <c r="AV75" s="559"/>
      <c r="AW75" s="559"/>
      <c r="AX75" s="560"/>
      <c r="AY75" s="546"/>
      <c r="AZ75" s="546"/>
      <c r="BA75" s="547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">
        <v>151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77" t="s">
        <v>120</v>
      </c>
      <c r="C78" s="478"/>
      <c r="D78" s="478"/>
      <c r="E78" s="478"/>
      <c r="F78" s="478"/>
      <c r="G78" s="479"/>
      <c r="H78" s="483">
        <f>Sources!N45</f>
        <v>21332</v>
      </c>
      <c r="I78" s="484"/>
      <c r="J78" s="485"/>
      <c r="K78" s="463">
        <f>Sources!Q45</f>
        <v>24561</v>
      </c>
      <c r="L78" s="463"/>
      <c r="M78" s="463"/>
      <c r="N78" s="416">
        <f>Sources!T45</f>
        <v>28435</v>
      </c>
      <c r="O78" s="416"/>
      <c r="P78" s="416"/>
      <c r="Q78" s="457">
        <f>Sources!Z45</f>
        <v>32309</v>
      </c>
      <c r="R78" s="458"/>
      <c r="S78" s="459"/>
      <c r="T78" s="472" t="s">
        <v>107</v>
      </c>
      <c r="U78" s="473"/>
      <c r="V78" s="473"/>
      <c r="W78" s="473"/>
      <c r="X78" s="414">
        <f>Sources!$AE$45</f>
        <v>468.82</v>
      </c>
      <c r="Y78" s="415"/>
      <c r="Z78" s="415"/>
      <c r="AA78" s="415"/>
      <c r="AB78" s="413">
        <f>$X$78*12</f>
        <v>5625.84</v>
      </c>
      <c r="AC78" s="413"/>
      <c r="AD78" s="413"/>
      <c r="AE78" s="413"/>
      <c r="AF78" s="405" t="e">
        <f>IF(((net_annuel+IE_annuelles)*0.15)&gt;((net_annuel+IE_annuelles)-$AB$78),((net_annuel+IE_annuelles)*0.15),net_annuel+IE_annuelles-$AB$78)</f>
        <v>#DIV/0!</v>
      </c>
      <c r="AG78" s="405"/>
      <c r="AH78" s="405"/>
      <c r="AI78" s="405"/>
      <c r="AJ78" s="405"/>
      <c r="AK78" s="158"/>
      <c r="AL78" s="405" t="e">
        <f>IF($AF$78&gt;P_plafond_impôt,(P_plafond_impôt/2),$AF$78/2)</f>
        <v>#DIV/0!</v>
      </c>
      <c r="AM78" s="405"/>
      <c r="AN78" s="405"/>
      <c r="AO78" s="405" t="e">
        <f>$AF$78-$AL$78</f>
        <v>#DIV/0!</v>
      </c>
      <c r="AP78" s="405"/>
      <c r="AQ78" s="405"/>
      <c r="AR78" s="410" t="e">
        <f>SUM($AO$78+((($L$45-IE_CCN)*AC26*AW26)+$Q$49+$Q$47))/12</f>
        <v>#DIV/0!</v>
      </c>
      <c r="AS78" s="411"/>
      <c r="AT78" s="411"/>
      <c r="AU78" s="411"/>
      <c r="AV78" s="411"/>
      <c r="AW78" s="411"/>
      <c r="AX78" s="411"/>
      <c r="AY78" s="404" t="e">
        <f>$AO$78/12</f>
        <v>#DIV/0!</v>
      </c>
      <c r="AZ78" s="404"/>
      <c r="BA78" s="404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80"/>
      <c r="C79" s="481"/>
      <c r="D79" s="481"/>
      <c r="E79" s="481"/>
      <c r="F79" s="481"/>
      <c r="G79" s="482"/>
      <c r="H79" s="486"/>
      <c r="I79" s="487"/>
      <c r="J79" s="488"/>
      <c r="K79" s="463"/>
      <c r="L79" s="463"/>
      <c r="M79" s="463"/>
      <c r="N79" s="416"/>
      <c r="O79" s="416"/>
      <c r="P79" s="416"/>
      <c r="Q79" s="460"/>
      <c r="R79" s="461"/>
      <c r="S79" s="462"/>
      <c r="T79" s="464" t="s">
        <v>108</v>
      </c>
      <c r="U79" s="464"/>
      <c r="V79" s="464"/>
      <c r="W79" s="464"/>
      <c r="X79" s="419">
        <f>Sources!$AE$46</f>
        <v>234.41</v>
      </c>
      <c r="Y79" s="420"/>
      <c r="Z79" s="420"/>
      <c r="AA79" s="420"/>
      <c r="AB79" s="417">
        <f>$X$79*12</f>
        <v>2812.92</v>
      </c>
      <c r="AC79" s="417"/>
      <c r="AD79" s="417"/>
      <c r="AE79" s="417"/>
      <c r="AF79" s="403" t="e">
        <f>IF(((net_annuel+IE_annuelles)*0.15)&gt;((net_annuel+IE_annuelles)-$AB$79),((net_annuel+IE_annuelles)*0.15),net_annuel+IE_annuelles-$AB$79)</f>
        <v>#DIV/0!</v>
      </c>
      <c r="AG79" s="403"/>
      <c r="AH79" s="403"/>
      <c r="AI79" s="403"/>
      <c r="AJ79" s="403"/>
      <c r="AK79" s="157"/>
      <c r="AL79" s="403" t="e">
        <f>IF($AF$79&gt;P_plafond_impôt,(P_plafond_impôt/2),$AF$79/2)</f>
        <v>#DIV/0!</v>
      </c>
      <c r="AM79" s="403"/>
      <c r="AN79" s="403"/>
      <c r="AO79" s="403" t="e">
        <f>$AF$79-$AL$79</f>
        <v>#DIV/0!</v>
      </c>
      <c r="AP79" s="403"/>
      <c r="AQ79" s="403"/>
      <c r="AR79" s="406" t="e">
        <f>SUM($AO$79+((($L$45-IE_CCN)*AC26*AW26)+$Q$49+$Q$47))/12</f>
        <v>#DIV/0!</v>
      </c>
      <c r="AS79" s="407"/>
      <c r="AT79" s="407"/>
      <c r="AU79" s="407"/>
      <c r="AV79" s="407"/>
      <c r="AW79" s="407"/>
      <c r="AX79" s="407"/>
      <c r="AY79" s="403" t="e">
        <f>$AO$79/12</f>
        <v>#DIV/0!</v>
      </c>
      <c r="AZ79" s="403"/>
      <c r="BA79" s="403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507" t="s">
        <v>121</v>
      </c>
      <c r="C81" s="508"/>
      <c r="D81" s="508"/>
      <c r="E81" s="508"/>
      <c r="F81" s="508"/>
      <c r="G81" s="509"/>
      <c r="H81" s="463">
        <f>Sources!N63</f>
        <v>47405</v>
      </c>
      <c r="I81" s="463"/>
      <c r="J81" s="463"/>
      <c r="K81" s="463">
        <f>Sources!Q63</f>
        <v>54579</v>
      </c>
      <c r="L81" s="463"/>
      <c r="M81" s="463"/>
      <c r="N81" s="416">
        <f>Sources!T63</f>
        <v>63188</v>
      </c>
      <c r="O81" s="416"/>
      <c r="P81" s="416"/>
      <c r="Q81" s="457">
        <f>Sources!Z63</f>
        <v>71797</v>
      </c>
      <c r="R81" s="458"/>
      <c r="S81" s="459"/>
      <c r="T81" s="472" t="s">
        <v>107</v>
      </c>
      <c r="U81" s="473"/>
      <c r="V81" s="473"/>
      <c r="W81" s="473"/>
      <c r="X81" s="414">
        <f>Sources!$AE$63</f>
        <v>295.62</v>
      </c>
      <c r="Y81" s="415"/>
      <c r="Z81" s="415"/>
      <c r="AA81" s="415"/>
      <c r="AB81" s="413">
        <f>$X$81*12</f>
        <v>3547.44</v>
      </c>
      <c r="AC81" s="413"/>
      <c r="AD81" s="413"/>
      <c r="AE81" s="413"/>
      <c r="AF81" s="412" t="e">
        <f>IF(((net_annuel+IE_annuelles)*0.15)&gt;((net_annuel+IE_annuelles)-$AB$81),((net_annuel+IE_annuelles)*0.15),net_annuel+IE_annuelles-$AB$81)</f>
        <v>#DIV/0!</v>
      </c>
      <c r="AG81" s="412"/>
      <c r="AH81" s="412"/>
      <c r="AI81" s="412"/>
      <c r="AJ81" s="412"/>
      <c r="AK81" s="159"/>
      <c r="AL81" s="412" t="e">
        <f>IF($AF$81&gt;P_plafond_impôt,(P_plafond_impôt/2),$AF$81/2)</f>
        <v>#DIV/0!</v>
      </c>
      <c r="AM81" s="412"/>
      <c r="AN81" s="412"/>
      <c r="AO81" s="412" t="e">
        <f>$AF$81-$AL$81</f>
        <v>#DIV/0!</v>
      </c>
      <c r="AP81" s="412"/>
      <c r="AQ81" s="412"/>
      <c r="AR81" s="408" t="e">
        <f>SUM($AO$81+((($L$45-IE_CCN)*AC26*AW26)+$Q$49+$Q$47))/12</f>
        <v>#DIV/0!</v>
      </c>
      <c r="AS81" s="409"/>
      <c r="AT81" s="409"/>
      <c r="AU81" s="409"/>
      <c r="AV81" s="409"/>
      <c r="AW81" s="409"/>
      <c r="AX81" s="409"/>
      <c r="AY81" s="404" t="e">
        <f>$AO$81/12</f>
        <v>#DIV/0!</v>
      </c>
      <c r="AZ81" s="404"/>
      <c r="BA81" s="404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510"/>
      <c r="C82" s="511"/>
      <c r="D82" s="511"/>
      <c r="E82" s="511"/>
      <c r="F82" s="511"/>
      <c r="G82" s="512"/>
      <c r="H82" s="463"/>
      <c r="I82" s="463"/>
      <c r="J82" s="463"/>
      <c r="K82" s="463"/>
      <c r="L82" s="463"/>
      <c r="M82" s="463"/>
      <c r="N82" s="416"/>
      <c r="O82" s="416"/>
      <c r="P82" s="416"/>
      <c r="Q82" s="460"/>
      <c r="R82" s="461"/>
      <c r="S82" s="462"/>
      <c r="T82" s="464" t="s">
        <v>108</v>
      </c>
      <c r="U82" s="464"/>
      <c r="V82" s="464"/>
      <c r="W82" s="464"/>
      <c r="X82" s="419">
        <f>Sources!$AE$64</f>
        <v>147.83000000000001</v>
      </c>
      <c r="Y82" s="420"/>
      <c r="Z82" s="420"/>
      <c r="AA82" s="420"/>
      <c r="AB82" s="417">
        <f>$X$82*12</f>
        <v>1773.96</v>
      </c>
      <c r="AC82" s="417"/>
      <c r="AD82" s="417"/>
      <c r="AE82" s="417"/>
      <c r="AF82" s="403" t="e">
        <f>IF(((net_annuel+IE_annuelles)*0.15)&gt;((net_annuel+IE_annuelles)-$AB$82),((net_annuel+IE_annuelles)*0.15),net_annuel+IE_annuelles-$AB$82)</f>
        <v>#DIV/0!</v>
      </c>
      <c r="AG82" s="403"/>
      <c r="AH82" s="403"/>
      <c r="AI82" s="403"/>
      <c r="AJ82" s="403"/>
      <c r="AK82" s="160"/>
      <c r="AL82" s="403" t="e">
        <f>IF($AF$82&gt;P_plafond_impôt,(P_plafond_impôt/2),$AF$82/2)</f>
        <v>#DIV/0!</v>
      </c>
      <c r="AM82" s="403"/>
      <c r="AN82" s="403"/>
      <c r="AO82" s="403" t="e">
        <f>$AF$82-$AL$82</f>
        <v>#DIV/0!</v>
      </c>
      <c r="AP82" s="403"/>
      <c r="AQ82" s="403"/>
      <c r="AR82" s="406" t="e">
        <f>SUM($AO$82+((($L$45-IE_CCN)*AC26*AW26)+$Q$49+$Q$47))/12</f>
        <v>#DIV/0!</v>
      </c>
      <c r="AS82" s="407"/>
      <c r="AT82" s="407"/>
      <c r="AU82" s="407"/>
      <c r="AV82" s="407"/>
      <c r="AW82" s="407"/>
      <c r="AX82" s="407"/>
      <c r="AY82" s="403" t="e">
        <f>$AO$82/12</f>
        <v>#DIV/0!</v>
      </c>
      <c r="AZ82" s="403"/>
      <c r="BA82" s="403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77" t="s">
        <v>122</v>
      </c>
      <c r="C84" s="478"/>
      <c r="D84" s="478"/>
      <c r="E84" s="478"/>
      <c r="F84" s="478"/>
      <c r="G84" s="479"/>
      <c r="H84" s="463">
        <f>Sources!N71</f>
        <v>47405</v>
      </c>
      <c r="I84" s="463"/>
      <c r="J84" s="463"/>
      <c r="K84" s="463">
        <f>Sources!Q71</f>
        <v>54579</v>
      </c>
      <c r="L84" s="463"/>
      <c r="M84" s="463"/>
      <c r="N84" s="416">
        <f>Sources!T71</f>
        <v>63188</v>
      </c>
      <c r="O84" s="416"/>
      <c r="P84" s="416"/>
      <c r="Q84" s="457">
        <f>Sources!Z71</f>
        <v>71797</v>
      </c>
      <c r="R84" s="458"/>
      <c r="S84" s="459"/>
      <c r="T84" s="470" t="s">
        <v>107</v>
      </c>
      <c r="U84" s="471"/>
      <c r="V84" s="471"/>
      <c r="W84" s="471"/>
      <c r="X84" s="421">
        <f>Sources!$AE$71</f>
        <v>177.35</v>
      </c>
      <c r="Y84" s="422"/>
      <c r="Z84" s="422"/>
      <c r="AA84" s="422"/>
      <c r="AB84" s="418">
        <f>$X$84*12</f>
        <v>2128.1999999999998</v>
      </c>
      <c r="AC84" s="418"/>
      <c r="AD84" s="418"/>
      <c r="AE84" s="418"/>
      <c r="AF84" s="405" t="e">
        <f>IF(((net_annuel+IE_annuelles)*0.15)&gt;((net_annuel+IE_annuelles)-$AB$84),((net_annuel+IE_annuelles)*0.15),net_annuel+IE_annuelles-$AB$84)</f>
        <v>#DIV/0!</v>
      </c>
      <c r="AG84" s="405"/>
      <c r="AH84" s="405"/>
      <c r="AI84" s="405"/>
      <c r="AJ84" s="405"/>
      <c r="AK84" s="158"/>
      <c r="AL84" s="405" t="e">
        <f>IF($AF$84&gt;P_plafond_impôt,(P_plafond_impôt/2),$AF$84/2)</f>
        <v>#DIV/0!</v>
      </c>
      <c r="AM84" s="405"/>
      <c r="AN84" s="405"/>
      <c r="AO84" s="405" t="e">
        <f>$AF$84-$AL$84</f>
        <v>#DIV/0!</v>
      </c>
      <c r="AP84" s="405"/>
      <c r="AQ84" s="405"/>
      <c r="AR84" s="410" t="e">
        <f>SUM($AO$84+((($L$45-IE_CCN)*AC26*AW26)+$Q$49+$Q$47))/12</f>
        <v>#DIV/0!</v>
      </c>
      <c r="AS84" s="411"/>
      <c r="AT84" s="411"/>
      <c r="AU84" s="411"/>
      <c r="AV84" s="411"/>
      <c r="AW84" s="411"/>
      <c r="AX84" s="411"/>
      <c r="AY84" s="404" t="e">
        <f>$AO$84/12</f>
        <v>#DIV/0!</v>
      </c>
      <c r="AZ84" s="404"/>
      <c r="BA84" s="404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80"/>
      <c r="C85" s="481"/>
      <c r="D85" s="481"/>
      <c r="E85" s="481"/>
      <c r="F85" s="481"/>
      <c r="G85" s="482"/>
      <c r="H85" s="463"/>
      <c r="I85" s="463"/>
      <c r="J85" s="463"/>
      <c r="K85" s="463"/>
      <c r="L85" s="463"/>
      <c r="M85" s="463"/>
      <c r="N85" s="416"/>
      <c r="O85" s="416"/>
      <c r="P85" s="416"/>
      <c r="Q85" s="460"/>
      <c r="R85" s="461"/>
      <c r="S85" s="462"/>
      <c r="T85" s="464" t="s">
        <v>108</v>
      </c>
      <c r="U85" s="464"/>
      <c r="V85" s="464"/>
      <c r="W85" s="464"/>
      <c r="X85" s="419">
        <f>Sources!$AE$72</f>
        <v>88.68</v>
      </c>
      <c r="Y85" s="420"/>
      <c r="Z85" s="420"/>
      <c r="AA85" s="420"/>
      <c r="AB85" s="417">
        <f>$X$85*12</f>
        <v>1064.1600000000001</v>
      </c>
      <c r="AC85" s="417"/>
      <c r="AD85" s="417"/>
      <c r="AE85" s="417"/>
      <c r="AF85" s="403" t="e">
        <f>IF(((net_annuel+IE_annuelles)*0.15)&gt;((net_annuel+IE_annuelles)-$AB$85),((net_annuel+IE_annuelles)*0.15),net_annuel+IE_annuelles-$AB$85)</f>
        <v>#DIV/0!</v>
      </c>
      <c r="AG85" s="403"/>
      <c r="AH85" s="403"/>
      <c r="AI85" s="403"/>
      <c r="AJ85" s="403"/>
      <c r="AK85" s="157"/>
      <c r="AL85" s="403" t="e">
        <f>IF($AF$85&gt;P_plafond_impôt,(P_plafond_impôt/2),$AF$85/2)</f>
        <v>#DIV/0!</v>
      </c>
      <c r="AM85" s="403"/>
      <c r="AN85" s="403"/>
      <c r="AO85" s="403" t="e">
        <f>$AF$85-$AL$85</f>
        <v>#DIV/0!</v>
      </c>
      <c r="AP85" s="403"/>
      <c r="AQ85" s="403"/>
      <c r="AR85" s="406" t="e">
        <f>SUM($AO$85+((($L$45-IE_CCN)*AC26*AW26)+$Q$49+$Q$47))/12</f>
        <v>#DIV/0!</v>
      </c>
      <c r="AS85" s="407"/>
      <c r="AT85" s="407"/>
      <c r="AU85" s="407"/>
      <c r="AV85" s="407"/>
      <c r="AW85" s="407"/>
      <c r="AX85" s="407"/>
      <c r="AY85" s="403" t="e">
        <f>$AO$85/12</f>
        <v>#DIV/0!</v>
      </c>
      <c r="AZ85" s="403"/>
      <c r="BA85" s="403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71" t="s">
        <v>155</v>
      </c>
      <c r="M87" s="571"/>
      <c r="N87" s="571"/>
      <c r="O87" s="571"/>
      <c r="P87" s="571"/>
      <c r="Q87" s="571"/>
      <c r="R87" s="571"/>
      <c r="S87" s="571"/>
      <c r="T87" s="571"/>
      <c r="U87" s="571"/>
      <c r="V87" s="571"/>
      <c r="W87" s="571"/>
      <c r="X87" s="571"/>
      <c r="Y87" s="571"/>
      <c r="Z87" s="571"/>
      <c r="AA87" s="571"/>
      <c r="AB87" s="571"/>
      <c r="AC87" s="571"/>
      <c r="AD87" s="571"/>
      <c r="AE87" s="571"/>
      <c r="AF87" s="571"/>
      <c r="AG87" s="571"/>
      <c r="AH87" s="571"/>
      <c r="AI87" s="571"/>
      <c r="AJ87" s="571"/>
      <c r="AK87" s="571"/>
      <c r="AL87" s="571"/>
      <c r="AM87" s="571"/>
      <c r="AN87" s="571"/>
      <c r="AO87" s="571"/>
      <c r="AP87" s="571"/>
      <c r="AQ87" s="571"/>
    </row>
  </sheetData>
  <sheetProtection algorithmName="SHA-512" hashValue="qlzc0AUBFjV7+IPB21bqXYPUfoyLGXEdRVnK1unF1Mk9m/iJBDoEmDyS/TdI+HPtn6uK780JLO9ReAWM5DM19g==" saltValue="42zPqD5L85ho/+xGQPymjA==" spinCount="100000" sheet="1" selectLockedCells="1"/>
  <mergeCells count="405">
    <mergeCell ref="U51:AB53"/>
    <mergeCell ref="AQ47:BA49"/>
    <mergeCell ref="AF56:AI56"/>
    <mergeCell ref="AP65:AR65"/>
    <mergeCell ref="AS65:AU65"/>
    <mergeCell ref="B72:U72"/>
    <mergeCell ref="K67:AH67"/>
    <mergeCell ref="B65:D65"/>
    <mergeCell ref="E65:H65"/>
    <mergeCell ref="J65:L65"/>
    <mergeCell ref="M65:P65"/>
    <mergeCell ref="R65:U65"/>
    <mergeCell ref="V65:X65"/>
    <mergeCell ref="Z65:AB65"/>
    <mergeCell ref="AC65:AE65"/>
    <mergeCell ref="AJ65:AL65"/>
    <mergeCell ref="AP63:AR63"/>
    <mergeCell ref="AS63:AU63"/>
    <mergeCell ref="B64:D64"/>
    <mergeCell ref="E64:H64"/>
    <mergeCell ref="J64:L64"/>
    <mergeCell ref="M64:P64"/>
    <mergeCell ref="R64:U64"/>
    <mergeCell ref="V64:X64"/>
    <mergeCell ref="Z64:AB64"/>
    <mergeCell ref="AC64:AE64"/>
    <mergeCell ref="AJ64:AL64"/>
    <mergeCell ref="AP64:AR64"/>
    <mergeCell ref="AS64:AU64"/>
    <mergeCell ref="B63:D63"/>
    <mergeCell ref="E63:H63"/>
    <mergeCell ref="J63:L63"/>
    <mergeCell ref="M63:P63"/>
    <mergeCell ref="R63:U63"/>
    <mergeCell ref="V63:X63"/>
    <mergeCell ref="Z63:AB63"/>
    <mergeCell ref="AC63:AE63"/>
    <mergeCell ref="AJ63:AL63"/>
    <mergeCell ref="B62:D62"/>
    <mergeCell ref="E62:H62"/>
    <mergeCell ref="J62:L62"/>
    <mergeCell ref="M62:P62"/>
    <mergeCell ref="R62:U62"/>
    <mergeCell ref="V62:X62"/>
    <mergeCell ref="Z62:AB62"/>
    <mergeCell ref="AC62:AE62"/>
    <mergeCell ref="AJ62:AL62"/>
    <mergeCell ref="B61:D61"/>
    <mergeCell ref="E61:H61"/>
    <mergeCell ref="J61:L61"/>
    <mergeCell ref="M61:P61"/>
    <mergeCell ref="R61:U61"/>
    <mergeCell ref="V61:X61"/>
    <mergeCell ref="Z61:AB61"/>
    <mergeCell ref="AC61:AE61"/>
    <mergeCell ref="AJ61:AL61"/>
    <mergeCell ref="R60:U60"/>
    <mergeCell ref="V60:X60"/>
    <mergeCell ref="Z60:AB60"/>
    <mergeCell ref="AC60:AE60"/>
    <mergeCell ref="AP60:AR60"/>
    <mergeCell ref="AS60:AU60"/>
    <mergeCell ref="AP61:AR61"/>
    <mergeCell ref="AS61:AU61"/>
    <mergeCell ref="AP62:AR62"/>
    <mergeCell ref="AS62:AU62"/>
    <mergeCell ref="AW57:AY64"/>
    <mergeCell ref="B58:D58"/>
    <mergeCell ref="E58:H58"/>
    <mergeCell ref="J58:L58"/>
    <mergeCell ref="M58:P58"/>
    <mergeCell ref="R58:U58"/>
    <mergeCell ref="V58:X58"/>
    <mergeCell ref="Z58:AB58"/>
    <mergeCell ref="AC58:AE58"/>
    <mergeCell ref="AP58:AR58"/>
    <mergeCell ref="B59:D59"/>
    <mergeCell ref="E59:H59"/>
    <mergeCell ref="J59:L59"/>
    <mergeCell ref="M59:P59"/>
    <mergeCell ref="R59:U59"/>
    <mergeCell ref="V59:X59"/>
    <mergeCell ref="Z59:AB59"/>
    <mergeCell ref="AC59:AE59"/>
    <mergeCell ref="AG59:AI59"/>
    <mergeCell ref="AJ59:AM59"/>
    <mergeCell ref="AP59:AR59"/>
    <mergeCell ref="AS59:AU59"/>
    <mergeCell ref="B60:D60"/>
    <mergeCell ref="E60:H60"/>
    <mergeCell ref="AP54:AR54"/>
    <mergeCell ref="AS54:AV54"/>
    <mergeCell ref="AW54:AY54"/>
    <mergeCell ref="AZ54:BB54"/>
    <mergeCell ref="B55:D55"/>
    <mergeCell ref="E55:H55"/>
    <mergeCell ref="I55:K55"/>
    <mergeCell ref="L55:N55"/>
    <mergeCell ref="O55:Q55"/>
    <mergeCell ref="R55:U55"/>
    <mergeCell ref="V55:X55"/>
    <mergeCell ref="Y55:AA55"/>
    <mergeCell ref="AB55:AD55"/>
    <mergeCell ref="AE55:AF55"/>
    <mergeCell ref="AG55:AH55"/>
    <mergeCell ref="AI55:AL55"/>
    <mergeCell ref="AM55:AO55"/>
    <mergeCell ref="AP55:AR55"/>
    <mergeCell ref="AS55:AV55"/>
    <mergeCell ref="AW55:AY55"/>
    <mergeCell ref="AZ55:BB55"/>
    <mergeCell ref="A1:AT1"/>
    <mergeCell ref="AU1:AX1"/>
    <mergeCell ref="B3:I3"/>
    <mergeCell ref="B6:Q6"/>
    <mergeCell ref="R6:S6"/>
    <mergeCell ref="AC6:AD6"/>
    <mergeCell ref="B8:Q8"/>
    <mergeCell ref="R8:S8"/>
    <mergeCell ref="AC8:AD8"/>
    <mergeCell ref="AE8:AM8"/>
    <mergeCell ref="AN8:AO8"/>
    <mergeCell ref="B10:I10"/>
    <mergeCell ref="J10:Y10"/>
    <mergeCell ref="Z10:AD10"/>
    <mergeCell ref="AE10:AJ10"/>
    <mergeCell ref="AP10:BB10"/>
    <mergeCell ref="H12:AB13"/>
    <mergeCell ref="AC12:AD14"/>
    <mergeCell ref="AE12:AG14"/>
    <mergeCell ref="AH12:AH14"/>
    <mergeCell ref="AI12:AK14"/>
    <mergeCell ref="AL12:AN14"/>
    <mergeCell ref="AP12:BB12"/>
    <mergeCell ref="H14:J14"/>
    <mergeCell ref="K14:M14"/>
    <mergeCell ref="AW14:BB16"/>
    <mergeCell ref="B15:F15"/>
    <mergeCell ref="H15:J15"/>
    <mergeCell ref="K15:M15"/>
    <mergeCell ref="N15:P15"/>
    <mergeCell ref="Q15:S15"/>
    <mergeCell ref="T15:V15"/>
    <mergeCell ref="W15:Y15"/>
    <mergeCell ref="Z15:AB15"/>
    <mergeCell ref="AC15:AD15"/>
    <mergeCell ref="N14:P14"/>
    <mergeCell ref="Q14:S14"/>
    <mergeCell ref="T14:V14"/>
    <mergeCell ref="W14:Y14"/>
    <mergeCell ref="Z14:AB14"/>
    <mergeCell ref="AP14:AV16"/>
    <mergeCell ref="AE15:AG15"/>
    <mergeCell ref="AI15:AK15"/>
    <mergeCell ref="AL15:AN15"/>
    <mergeCell ref="T16:V17"/>
    <mergeCell ref="AL16:AN17"/>
    <mergeCell ref="W16:Y17"/>
    <mergeCell ref="Z16:AB17"/>
    <mergeCell ref="AC16:AD17"/>
    <mergeCell ref="AE16:AG17"/>
    <mergeCell ref="AH16:AH17"/>
    <mergeCell ref="AI16:AK17"/>
    <mergeCell ref="B16:F17"/>
    <mergeCell ref="G16:G17"/>
    <mergeCell ref="H16:J17"/>
    <mergeCell ref="K16:M17"/>
    <mergeCell ref="N16:P17"/>
    <mergeCell ref="Q16:S17"/>
    <mergeCell ref="AC18:AD19"/>
    <mergeCell ref="AE18:AG19"/>
    <mergeCell ref="AH18:AH19"/>
    <mergeCell ref="B18:F19"/>
    <mergeCell ref="G18:G19"/>
    <mergeCell ref="H18:J19"/>
    <mergeCell ref="K18:M19"/>
    <mergeCell ref="N18:P19"/>
    <mergeCell ref="Q18:S19"/>
    <mergeCell ref="T18:V19"/>
    <mergeCell ref="W18:Y19"/>
    <mergeCell ref="Z18:AB19"/>
    <mergeCell ref="AI18:AK19"/>
    <mergeCell ref="AL18:AN19"/>
    <mergeCell ref="AC20:AD21"/>
    <mergeCell ref="AE20:AG21"/>
    <mergeCell ref="AH20:AH21"/>
    <mergeCell ref="AI20:AK21"/>
    <mergeCell ref="T20:V21"/>
    <mergeCell ref="W20:Y21"/>
    <mergeCell ref="Z20:AB21"/>
    <mergeCell ref="AL20:AN21"/>
    <mergeCell ref="B22:F23"/>
    <mergeCell ref="G22:G23"/>
    <mergeCell ref="H22:J23"/>
    <mergeCell ref="K22:M23"/>
    <mergeCell ref="N22:P23"/>
    <mergeCell ref="Q22:S23"/>
    <mergeCell ref="B20:F21"/>
    <mergeCell ref="G20:G21"/>
    <mergeCell ref="H20:J21"/>
    <mergeCell ref="K20:M21"/>
    <mergeCell ref="N20:P21"/>
    <mergeCell ref="Q20:S21"/>
    <mergeCell ref="AW22:BB24"/>
    <mergeCell ref="B24:F25"/>
    <mergeCell ref="G24:G25"/>
    <mergeCell ref="H24:J25"/>
    <mergeCell ref="K24:M25"/>
    <mergeCell ref="N24:P25"/>
    <mergeCell ref="Q24:S25"/>
    <mergeCell ref="T24:V25"/>
    <mergeCell ref="W24:Y25"/>
    <mergeCell ref="Z24:AB25"/>
    <mergeCell ref="AI22:AK23"/>
    <mergeCell ref="AL22:AN23"/>
    <mergeCell ref="AP22:AV24"/>
    <mergeCell ref="AC24:AD25"/>
    <mergeCell ref="AE24:AG25"/>
    <mergeCell ref="AH24:AH25"/>
    <mergeCell ref="AI24:AK25"/>
    <mergeCell ref="AL24:AN25"/>
    <mergeCell ref="T22:V23"/>
    <mergeCell ref="W22:Y23"/>
    <mergeCell ref="Z22:AB23"/>
    <mergeCell ref="AC22:AD23"/>
    <mergeCell ref="AE22:AG23"/>
    <mergeCell ref="AH22:AH23"/>
    <mergeCell ref="AI26:AK28"/>
    <mergeCell ref="AL26:AN28"/>
    <mergeCell ref="AP26:AV28"/>
    <mergeCell ref="AW26:BB28"/>
    <mergeCell ref="C29:AN30"/>
    <mergeCell ref="B32:G35"/>
    <mergeCell ref="H32:J35"/>
    <mergeCell ref="K32:K35"/>
    <mergeCell ref="L32:N35"/>
    <mergeCell ref="O32:O35"/>
    <mergeCell ref="N26:P28"/>
    <mergeCell ref="Q26:Y28"/>
    <mergeCell ref="Z26:AB28"/>
    <mergeCell ref="AC26:AD28"/>
    <mergeCell ref="AE26:AG28"/>
    <mergeCell ref="AH26:AH28"/>
    <mergeCell ref="AC32:AC35"/>
    <mergeCell ref="AD32:AE35"/>
    <mergeCell ref="AF32:AI35"/>
    <mergeCell ref="AK32:AN35"/>
    <mergeCell ref="AP32:AV35"/>
    <mergeCell ref="AX32:BB35"/>
    <mergeCell ref="P32:Q35"/>
    <mergeCell ref="R32:R35"/>
    <mergeCell ref="S32:U35"/>
    <mergeCell ref="V32:V35"/>
    <mergeCell ref="W32:Y35"/>
    <mergeCell ref="Z32:AB35"/>
    <mergeCell ref="R37:R38"/>
    <mergeCell ref="S37:U38"/>
    <mergeCell ref="V37:V38"/>
    <mergeCell ref="W37:Y38"/>
    <mergeCell ref="Z37:AB38"/>
    <mergeCell ref="AC37:AC38"/>
    <mergeCell ref="B37:G38"/>
    <mergeCell ref="H37:J38"/>
    <mergeCell ref="K37:K38"/>
    <mergeCell ref="L37:N38"/>
    <mergeCell ref="O37:O38"/>
    <mergeCell ref="P37:Q38"/>
    <mergeCell ref="AD37:AE38"/>
    <mergeCell ref="AF37:AI38"/>
    <mergeCell ref="AD40:AE41"/>
    <mergeCell ref="AF40:AI41"/>
    <mergeCell ref="AP40:AV41"/>
    <mergeCell ref="R40:R41"/>
    <mergeCell ref="S40:U41"/>
    <mergeCell ref="V40:V41"/>
    <mergeCell ref="W40:Y41"/>
    <mergeCell ref="Z40:AB41"/>
    <mergeCell ref="AC40:AC41"/>
    <mergeCell ref="B40:G41"/>
    <mergeCell ref="H40:J41"/>
    <mergeCell ref="K40:K41"/>
    <mergeCell ref="L40:N41"/>
    <mergeCell ref="O40:O41"/>
    <mergeCell ref="P40:Q41"/>
    <mergeCell ref="AB45:AO45"/>
    <mergeCell ref="AZ45:BA45"/>
    <mergeCell ref="L47:M47"/>
    <mergeCell ref="Q47:T47"/>
    <mergeCell ref="AN47:AO47"/>
    <mergeCell ref="B43:N43"/>
    <mergeCell ref="B45:B49"/>
    <mergeCell ref="C45:K45"/>
    <mergeCell ref="L45:M45"/>
    <mergeCell ref="O45:P49"/>
    <mergeCell ref="Q45:T45"/>
    <mergeCell ref="C49:K49"/>
    <mergeCell ref="L49:M49"/>
    <mergeCell ref="Q49:T49"/>
    <mergeCell ref="AJ37:AJ41"/>
    <mergeCell ref="AK37:AN41"/>
    <mergeCell ref="AP37:AV38"/>
    <mergeCell ref="AX37:BB41"/>
    <mergeCell ref="B52:R52"/>
    <mergeCell ref="B73:S73"/>
    <mergeCell ref="T73:AA75"/>
    <mergeCell ref="AB73:AE75"/>
    <mergeCell ref="AF73:AJ75"/>
    <mergeCell ref="AN49:AO49"/>
    <mergeCell ref="B50:P50"/>
    <mergeCell ref="Q50:T50"/>
    <mergeCell ref="B53:R53"/>
    <mergeCell ref="B54:D54"/>
    <mergeCell ref="E54:H54"/>
    <mergeCell ref="I54:K54"/>
    <mergeCell ref="L54:N54"/>
    <mergeCell ref="O54:Q54"/>
    <mergeCell ref="R54:U54"/>
    <mergeCell ref="V54:X54"/>
    <mergeCell ref="Y54:AA54"/>
    <mergeCell ref="AB54:AD54"/>
    <mergeCell ref="AE54:AF54"/>
    <mergeCell ref="AG54:AH54"/>
    <mergeCell ref="AI54:AL54"/>
    <mergeCell ref="AM54:AO54"/>
    <mergeCell ref="J60:L60"/>
    <mergeCell ref="M60:P60"/>
    <mergeCell ref="Q78:S79"/>
    <mergeCell ref="T78:W78"/>
    <mergeCell ref="AL73:AN75"/>
    <mergeCell ref="AO73:AQ75"/>
    <mergeCell ref="AR73:AX75"/>
    <mergeCell ref="AY73:BA75"/>
    <mergeCell ref="B74:E75"/>
    <mergeCell ref="H74:J75"/>
    <mergeCell ref="K74:M75"/>
    <mergeCell ref="N74:P75"/>
    <mergeCell ref="Q74:S75"/>
    <mergeCell ref="AY78:BA78"/>
    <mergeCell ref="T79:W79"/>
    <mergeCell ref="X79:AA79"/>
    <mergeCell ref="AB79:AE79"/>
    <mergeCell ref="AF79:AJ79"/>
    <mergeCell ref="AL79:AN79"/>
    <mergeCell ref="AO79:AQ79"/>
    <mergeCell ref="AR79:AX79"/>
    <mergeCell ref="AY79:BA79"/>
    <mergeCell ref="X78:AA78"/>
    <mergeCell ref="AB78:AE78"/>
    <mergeCell ref="AF78:AJ78"/>
    <mergeCell ref="AL78:AN78"/>
    <mergeCell ref="AR78:AX78"/>
    <mergeCell ref="AY81:BA81"/>
    <mergeCell ref="T82:W82"/>
    <mergeCell ref="X82:AA82"/>
    <mergeCell ref="AB82:AE82"/>
    <mergeCell ref="AF82:AJ82"/>
    <mergeCell ref="AL82:AN82"/>
    <mergeCell ref="AO82:AQ82"/>
    <mergeCell ref="AR82:AX82"/>
    <mergeCell ref="AY82:BA82"/>
    <mergeCell ref="X81:AA81"/>
    <mergeCell ref="AB81:AE81"/>
    <mergeCell ref="AF81:AJ81"/>
    <mergeCell ref="AL81:AN81"/>
    <mergeCell ref="AO81:AQ81"/>
    <mergeCell ref="AR81:AX81"/>
    <mergeCell ref="T81:W81"/>
    <mergeCell ref="AY84:BA84"/>
    <mergeCell ref="T85:W85"/>
    <mergeCell ref="X85:AA85"/>
    <mergeCell ref="AB85:AE85"/>
    <mergeCell ref="AF85:AJ85"/>
    <mergeCell ref="AL85:AN85"/>
    <mergeCell ref="AO85:AQ85"/>
    <mergeCell ref="AR85:AX85"/>
    <mergeCell ref="AY85:BA85"/>
    <mergeCell ref="X84:AA84"/>
    <mergeCell ref="AO84:AQ84"/>
    <mergeCell ref="AR84:AX84"/>
    <mergeCell ref="T84:W84"/>
    <mergeCell ref="AL84:AN84"/>
    <mergeCell ref="L87:AQ87"/>
    <mergeCell ref="J3:X3"/>
    <mergeCell ref="Z3:AD3"/>
    <mergeCell ref="AE3:AG3"/>
    <mergeCell ref="AM3:AO3"/>
    <mergeCell ref="AH3:AL3"/>
    <mergeCell ref="B26:M28"/>
    <mergeCell ref="AB84:AE84"/>
    <mergeCell ref="AF84:AJ84"/>
    <mergeCell ref="B84:G85"/>
    <mergeCell ref="H84:J85"/>
    <mergeCell ref="K84:M85"/>
    <mergeCell ref="N84:P85"/>
    <mergeCell ref="Q84:S85"/>
    <mergeCell ref="B81:G82"/>
    <mergeCell ref="H81:J82"/>
    <mergeCell ref="K81:M82"/>
    <mergeCell ref="N81:P82"/>
    <mergeCell ref="Q81:S82"/>
    <mergeCell ref="B78:G79"/>
    <mergeCell ref="H78:J79"/>
    <mergeCell ref="K78:M79"/>
    <mergeCell ref="N78:P79"/>
    <mergeCell ref="AO78:AQ78"/>
  </mergeCells>
  <conditionalFormatting sqref="AC26:AG28 AF78:BA85">
    <cfRule type="containsErrors" dxfId="6" priority="10" stopIfTrue="1">
      <formula>ISERROR(AC26)</formula>
    </cfRule>
  </conditionalFormatting>
  <conditionalFormatting sqref="AH26">
    <cfRule type="expression" dxfId="5" priority="6" stopIfTrue="1">
      <formula>$AH$26&lt;&gt;$AW$26</formula>
    </cfRule>
    <cfRule type="containsErrors" dxfId="4" priority="7" stopIfTrue="1">
      <formula>ISERROR(AH26)</formula>
    </cfRule>
  </conditionalFormatting>
  <conditionalFormatting sqref="AI26:AN28">
    <cfRule type="containsErrors" dxfId="3" priority="9" stopIfTrue="1">
      <formula>ISERROR(AI26)</formula>
    </cfRule>
  </conditionalFormatting>
  <conditionalFormatting sqref="AN47:AO49">
    <cfRule type="containsErrors" dxfId="2" priority="1" stopIfTrue="1">
      <formula>ISERROR(AN47)</formula>
    </cfRule>
  </conditionalFormatting>
  <conditionalFormatting sqref="AZ45">
    <cfRule type="expression" dxfId="1" priority="4" stopIfTrue="1">
      <formula>$AZ$45&gt;$AZ$50</formula>
    </cfRule>
    <cfRule type="expression" dxfId="0" priority="5" stopIfTrue="1">
      <formula>$AZ$45&lt;$AZ$50</formula>
    </cfRule>
  </conditionalFormatting>
  <dataValidations count="3">
    <dataValidation type="list" allowBlank="1" showInputMessage="1" showErrorMessage="1" sqref="R8:S8" xr:uid="{8B922DE2-B30E-4660-A8D0-8064BDE987DD}">
      <formula1>pourcent</formula1>
    </dataValidation>
    <dataValidation type="list" allowBlank="1" showInputMessage="1" showErrorMessage="1" sqref="R6:S6" xr:uid="{4A70BF77-4229-4572-8C80-EBF3940FB026}">
      <formula1>ouinon</formula1>
    </dataValidation>
    <dataValidation errorStyle="warning" operator="greaterThan" showInputMessage="1" showErrorMessage="1" sqref="AZ45:BA45" xr:uid="{AC3861F8-0BCE-4E47-A334-0D7F0F97EE60}"/>
  </dataValidations>
  <hyperlinks>
    <hyperlink ref="L87" r:id="rId1" xr:uid="{DB4FDB7D-20E7-43C7-B890-6739D2080505}"/>
    <hyperlink ref="K67" r:id="rId2" xr:uid="{61F61850-8D4D-45A8-AC90-FE652F0B1B66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1F11A51-FED8-47D4-AB3B-B62930582047}">
          <x14:formula1>
            <xm:f>Sources!$T$25:$T$29</xm:f>
          </x14:formula1>
          <xm:sqref>AE55:AF55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E12-2A4A-43FB-A478-96ECA7FB8103}">
  <sheetPr codeName="Feuil3">
    <pageSetUpPr fitToPage="1"/>
  </sheetPr>
  <dimension ref="B1:CP119"/>
  <sheetViews>
    <sheetView showGridLines="0" zoomScale="87" zoomScaleNormal="87" workbookViewId="0">
      <selection activeCell="R26" sqref="R26"/>
    </sheetView>
  </sheetViews>
  <sheetFormatPr baseColWidth="10" defaultColWidth="10.7109375" defaultRowHeight="12.75" x14ac:dyDescent="0.2"/>
  <cols>
    <col min="1" max="1" width="2.7109375" customWidth="1"/>
    <col min="3" max="3" width="37.85546875" customWidth="1"/>
    <col min="4" max="4" width="1.28515625" customWidth="1"/>
    <col min="7" max="7" width="2.28515625" customWidth="1"/>
    <col min="8" max="8" width="12.7109375" customWidth="1"/>
    <col min="9" max="9" width="7.7109375" customWidth="1"/>
    <col min="11" max="11" width="13.28515625" customWidth="1"/>
    <col min="12" max="12" width="1.7109375" customWidth="1"/>
    <col min="13" max="13" width="2.85546875" hidden="1" customWidth="1"/>
    <col min="14" max="14" width="11.7109375" customWidth="1"/>
    <col min="15" max="15" width="11" customWidth="1"/>
    <col min="16" max="16" width="11.7109375" customWidth="1"/>
    <col min="17" max="17" width="10.28515625" customWidth="1"/>
    <col min="18" max="18" width="9.28515625" customWidth="1"/>
    <col min="19" max="19" width="6.28515625" customWidth="1"/>
    <col min="21" max="21" width="4.85546875" customWidth="1"/>
    <col min="22" max="22" width="4.42578125" customWidth="1"/>
    <col min="23" max="23" width="6.7109375" customWidth="1"/>
    <col min="24" max="24" width="9.140625" customWidth="1"/>
    <col min="26" max="26" width="19" customWidth="1"/>
    <col min="27" max="27" width="3.140625" customWidth="1"/>
    <col min="28" max="28" width="2.7109375" customWidth="1"/>
    <col min="29" max="29" width="5.28515625" customWidth="1"/>
    <col min="31" max="31" width="4" customWidth="1"/>
    <col min="32" max="33" width="6.140625" customWidth="1"/>
    <col min="34" max="34" width="7" customWidth="1"/>
    <col min="35" max="35" width="5.140625" customWidth="1"/>
    <col min="36" max="36" width="5.28515625" style="65" customWidth="1"/>
    <col min="37" max="37" width="3.85546875" customWidth="1"/>
    <col min="38" max="38" width="6.7109375" customWidth="1"/>
    <col min="39" max="39" width="8.85546875" style="67" customWidth="1"/>
    <col min="40" max="40" width="6.85546875" customWidth="1"/>
    <col min="42" max="42" width="6.28515625" customWidth="1"/>
    <col min="43" max="43" width="4.140625" customWidth="1"/>
    <col min="44" max="44" width="4.85546875" customWidth="1"/>
    <col min="45" max="45" width="7.7109375" customWidth="1"/>
    <col min="46" max="46" width="5.28515625" customWidth="1"/>
    <col min="47" max="47" width="2.85546875" customWidth="1"/>
    <col min="48" max="48" width="6.28515625" customWidth="1"/>
    <col min="49" max="49" width="4.140625" customWidth="1"/>
    <col min="50" max="50" width="7.5703125" customWidth="1"/>
    <col min="51" max="51" width="2.7109375" customWidth="1"/>
    <col min="53" max="53" width="4" customWidth="1"/>
    <col min="54" max="54" width="9.28515625" customWidth="1"/>
  </cols>
  <sheetData>
    <row r="1" spans="2:94" ht="26.25" customHeight="1" thickBot="1" x14ac:dyDescent="0.25">
      <c r="M1" t="s">
        <v>57</v>
      </c>
      <c r="AH1" s="21" t="s">
        <v>96</v>
      </c>
      <c r="AJ1" s="65">
        <v>1</v>
      </c>
      <c r="AM1" s="66">
        <v>0.1</v>
      </c>
    </row>
    <row r="2" spans="2:94" ht="13.5" customHeight="1" thickBot="1" x14ac:dyDescent="0.25">
      <c r="B2" s="694" t="s">
        <v>58</v>
      </c>
      <c r="C2" s="694"/>
      <c r="D2" s="694"/>
      <c r="E2" s="694"/>
      <c r="F2" s="694"/>
      <c r="G2" s="694"/>
      <c r="H2" s="694"/>
      <c r="I2" s="694"/>
      <c r="J2" s="694"/>
      <c r="K2" s="694"/>
      <c r="L2" s="35"/>
      <c r="M2" t="s">
        <v>59</v>
      </c>
      <c r="Q2" s="21" t="s">
        <v>82</v>
      </c>
      <c r="AH2" s="21" t="s">
        <v>29</v>
      </c>
      <c r="AJ2" s="65">
        <v>2</v>
      </c>
      <c r="AM2" s="66">
        <v>0.15</v>
      </c>
      <c r="CP2" s="36">
        <v>1</v>
      </c>
    </row>
    <row r="3" spans="2:94" ht="13.5" customHeight="1" thickBot="1" x14ac:dyDescent="0.25">
      <c r="B3" s="37"/>
      <c r="C3" s="695">
        <v>2026</v>
      </c>
      <c r="D3" s="38"/>
      <c r="E3" s="38"/>
      <c r="F3" s="38"/>
      <c r="G3" s="38"/>
      <c r="H3" s="38"/>
      <c r="I3" s="39"/>
      <c r="J3" s="39"/>
      <c r="K3" s="40"/>
      <c r="P3" s="21" t="s">
        <v>85</v>
      </c>
      <c r="Q3" s="18" t="s">
        <v>83</v>
      </c>
      <c r="AJ3" s="65">
        <v>3</v>
      </c>
      <c r="AM3" s="66">
        <v>0.2</v>
      </c>
      <c r="CP3" s="36">
        <v>2</v>
      </c>
    </row>
    <row r="4" spans="2:94" ht="13.5" customHeight="1" thickBot="1" x14ac:dyDescent="0.25">
      <c r="B4" s="37"/>
      <c r="C4" s="695"/>
      <c r="D4" s="38"/>
      <c r="E4" s="38"/>
      <c r="F4" s="38"/>
      <c r="G4" s="38"/>
      <c r="H4" s="38"/>
      <c r="I4" s="39"/>
      <c r="J4" s="41" t="s">
        <v>60</v>
      </c>
      <c r="K4" s="40"/>
      <c r="AJ4" s="65">
        <v>4</v>
      </c>
      <c r="AM4" s="66">
        <v>0.25</v>
      </c>
      <c r="CP4" s="36">
        <v>3</v>
      </c>
    </row>
    <row r="5" spans="2:94" ht="13.5" customHeight="1" x14ac:dyDescent="0.2">
      <c r="B5" s="37"/>
      <c r="D5" s="38"/>
      <c r="E5" s="38"/>
      <c r="F5" s="38"/>
      <c r="G5" s="38"/>
      <c r="H5" s="38"/>
      <c r="I5" s="39"/>
      <c r="J5" s="39"/>
      <c r="K5" s="40"/>
      <c r="P5" s="21" t="s">
        <v>86</v>
      </c>
      <c r="Q5" s="18" t="s">
        <v>8</v>
      </c>
      <c r="AM5" s="66">
        <v>0.3</v>
      </c>
      <c r="CP5" s="36">
        <v>4</v>
      </c>
    </row>
    <row r="6" spans="2:94" ht="13.5" customHeight="1" x14ac:dyDescent="0.2">
      <c r="B6" s="42" t="s">
        <v>61</v>
      </c>
      <c r="C6" s="43"/>
      <c r="D6" s="38"/>
      <c r="E6" s="696" t="s">
        <v>62</v>
      </c>
      <c r="F6" s="696"/>
      <c r="G6" s="38"/>
      <c r="H6" s="38"/>
      <c r="I6" s="39"/>
      <c r="J6" s="697" t="s">
        <v>63</v>
      </c>
      <c r="K6" s="697"/>
      <c r="AM6" s="66">
        <v>0.4</v>
      </c>
      <c r="CP6" s="36">
        <v>5</v>
      </c>
    </row>
    <row r="7" spans="2:94" ht="13.5" customHeight="1" thickBot="1" x14ac:dyDescent="0.25">
      <c r="B7" s="44"/>
      <c r="C7" s="1"/>
      <c r="D7" s="38"/>
      <c r="E7" s="45" t="s">
        <v>64</v>
      </c>
      <c r="F7" s="46">
        <v>0.98250000000000004</v>
      </c>
      <c r="G7" s="38"/>
      <c r="H7" s="47"/>
      <c r="I7" s="39"/>
      <c r="J7" s="45" t="s">
        <v>64</v>
      </c>
      <c r="K7" s="46">
        <v>0.98250000000000004</v>
      </c>
      <c r="P7" s="21" t="s">
        <v>84</v>
      </c>
      <c r="Q7" s="18" t="s">
        <v>40</v>
      </c>
      <c r="AM7" s="66">
        <v>0.45</v>
      </c>
      <c r="CP7" s="36">
        <v>6</v>
      </c>
    </row>
    <row r="8" spans="2:94" ht="13.5" customHeight="1" x14ac:dyDescent="0.2">
      <c r="B8" s="48" t="s">
        <v>65</v>
      </c>
      <c r="C8" s="49"/>
      <c r="D8" s="38"/>
      <c r="E8" s="163">
        <v>7.2999999999999995E-2</v>
      </c>
      <c r="F8" s="50"/>
      <c r="G8" s="38"/>
      <c r="H8" s="51">
        <f>IF(AND('Mensualisation CDI'!$R$6="non",'Mensualisation CDD'!$R$6="non"),Sources!E8,Sources!J8)</f>
        <v>7.2999999999999995E-2</v>
      </c>
      <c r="I8" s="39"/>
      <c r="J8" s="163">
        <v>8.5999999999999993E-2</v>
      </c>
      <c r="K8" s="52"/>
      <c r="AM8" s="66">
        <v>0.5</v>
      </c>
      <c r="CP8" s="36">
        <v>7</v>
      </c>
    </row>
    <row r="9" spans="2:94" ht="13.5" customHeight="1" x14ac:dyDescent="0.2">
      <c r="B9" s="48" t="s">
        <v>66</v>
      </c>
      <c r="C9" s="49"/>
      <c r="D9" s="53"/>
      <c r="E9" s="164">
        <v>3.15E-2</v>
      </c>
      <c r="F9" s="50"/>
      <c r="G9" s="38"/>
      <c r="H9" s="51">
        <f>IF(AND('Mensualisation CDI'!$R$6="non",'Mensualisation CDD'!$R$6="non"),Sources!E9,Sources!J9)</f>
        <v>3.15E-2</v>
      </c>
      <c r="I9" s="39"/>
      <c r="J9" s="164">
        <v>3.15E-2</v>
      </c>
      <c r="K9" s="52"/>
      <c r="P9" s="21" t="s">
        <v>87</v>
      </c>
      <c r="Q9" s="56" t="s">
        <v>74</v>
      </c>
      <c r="CP9" s="36">
        <v>8</v>
      </c>
    </row>
    <row r="10" spans="2:94" ht="13.5" customHeight="1" x14ac:dyDescent="0.2">
      <c r="B10" s="48" t="s">
        <v>67</v>
      </c>
      <c r="C10" s="49"/>
      <c r="D10" s="53"/>
      <c r="E10" s="164">
        <v>1.04E-2</v>
      </c>
      <c r="F10" s="50"/>
      <c r="G10" s="38"/>
      <c r="H10" s="51">
        <f>IF(AND('Mensualisation CDI'!$R$6="non",'Mensualisation CDD'!$R$6="non"),Sources!E10,Sources!J10)</f>
        <v>1.04E-2</v>
      </c>
      <c r="I10" s="39"/>
      <c r="J10" s="164">
        <v>1.04E-2</v>
      </c>
      <c r="K10" s="52"/>
      <c r="CP10" s="36">
        <v>9</v>
      </c>
    </row>
    <row r="11" spans="2:94" ht="13.5" customHeight="1" x14ac:dyDescent="0.2">
      <c r="B11" s="48" t="s">
        <v>68</v>
      </c>
      <c r="C11" s="49"/>
      <c r="D11" s="38"/>
      <c r="E11" s="164"/>
      <c r="F11" s="50"/>
      <c r="G11" s="38"/>
      <c r="H11" s="51">
        <f>IF(AND('Mensualisation CDI'!$R$6="non",'Mensualisation CDD'!$R$6="non"),Sources!E11,Sources!J11)</f>
        <v>0</v>
      </c>
      <c r="I11" s="39"/>
      <c r="J11" s="164"/>
      <c r="K11" s="52"/>
      <c r="Q11" s="18" t="s">
        <v>88</v>
      </c>
      <c r="CP11" s="36">
        <v>10</v>
      </c>
    </row>
    <row r="12" spans="2:94" ht="13.5" customHeight="1" thickBot="1" x14ac:dyDescent="0.25">
      <c r="B12" s="48" t="s">
        <v>140</v>
      </c>
      <c r="C12" s="49"/>
      <c r="D12" s="38"/>
      <c r="E12" s="165">
        <v>8.6E-3</v>
      </c>
      <c r="F12" s="54"/>
      <c r="G12" s="38"/>
      <c r="H12" s="51">
        <f>IF(AND('Mensualisation CDI'!$R$6="non",'Mensualisation CDD'!$R$6="non"),Sources!E12,Sources!J12)</f>
        <v>8.6E-3</v>
      </c>
      <c r="I12" s="39"/>
      <c r="J12" s="165">
        <v>8.6E-3</v>
      </c>
      <c r="K12" s="52"/>
      <c r="CP12" s="36">
        <v>11</v>
      </c>
    </row>
    <row r="13" spans="2:94" ht="13.5" customHeight="1" x14ac:dyDescent="0.2">
      <c r="B13" s="698" t="s">
        <v>69</v>
      </c>
      <c r="C13" s="698"/>
      <c r="D13" s="38"/>
      <c r="E13" s="38"/>
      <c r="F13" s="163">
        <v>2.9000000000000005E-2</v>
      </c>
      <c r="G13" s="38"/>
      <c r="H13" s="51">
        <f>IF(AND('Mensualisation CDI'!$R$6="non",'Mensualisation CDD'!$R$6="non"),Sources!F13,Sources!K13)</f>
        <v>2.9000000000000005E-2</v>
      </c>
      <c r="I13" s="39"/>
      <c r="J13" s="55"/>
      <c r="K13" s="169">
        <v>2.9000000000000005E-2</v>
      </c>
      <c r="M13" s="84"/>
      <c r="N13" s="699" t="s">
        <v>111</v>
      </c>
      <c r="O13" s="699"/>
      <c r="P13" s="699"/>
      <c r="Q13" s="699" t="s">
        <v>112</v>
      </c>
      <c r="R13" s="699"/>
      <c r="S13" s="699"/>
      <c r="T13" s="699"/>
      <c r="CP13" s="36">
        <v>12</v>
      </c>
    </row>
    <row r="14" spans="2:94" ht="13.5" customHeight="1" thickBot="1" x14ac:dyDescent="0.25">
      <c r="B14" s="698" t="s">
        <v>70</v>
      </c>
      <c r="C14" s="698"/>
      <c r="D14" s="38"/>
      <c r="E14" s="38"/>
      <c r="F14" s="165">
        <v>6.8000000000000005E-2</v>
      </c>
      <c r="G14" s="38"/>
      <c r="H14" s="51">
        <f>IF(AND('Mensualisation CDI'!$R$6="non",'Mensualisation CDD'!$R$6="non"),Sources!F14,Sources!K14)</f>
        <v>6.8000000000000005E-2</v>
      </c>
      <c r="I14" s="39"/>
      <c r="J14" s="55"/>
      <c r="K14" s="170">
        <v>6.8000000000000005E-2</v>
      </c>
      <c r="M14" s="84"/>
      <c r="N14" s="706" t="str">
        <f ca="1">IF(TODAY()-Date_naissance&lt;=(3*365),"-3","+3")</f>
        <v>+3</v>
      </c>
      <c r="O14" s="707"/>
      <c r="P14" s="708"/>
      <c r="Q14" s="700">
        <f>'Mensualisation CDI'!AE10</f>
        <v>0</v>
      </c>
      <c r="R14" s="700"/>
      <c r="S14" s="700"/>
      <c r="T14" s="700"/>
      <c r="CP14" s="36">
        <v>13</v>
      </c>
    </row>
    <row r="15" spans="2:94" ht="13.5" customHeight="1" thickBot="1" x14ac:dyDescent="0.25">
      <c r="B15" s="677" t="s">
        <v>71</v>
      </c>
      <c r="C15" s="677"/>
      <c r="D15" s="57"/>
      <c r="E15" s="58">
        <f>SUMPRODUCT(E8:E12)+((F13+F14)*98.25)/100</f>
        <v>0.21880250000000001</v>
      </c>
      <c r="F15" s="59">
        <f>1-E15</f>
        <v>0.78119749999999999</v>
      </c>
      <c r="G15" s="100"/>
      <c r="H15" s="182">
        <f>IF(AND('Mensualisation CDI'!$R$6="non",'Mensualisation CDD'!$R$6="non"),1-Sources!F15,1-Sources!K15)</f>
        <v>0.21880250000000001</v>
      </c>
      <c r="I15" s="183" t="s">
        <v>149</v>
      </c>
      <c r="J15" s="58">
        <f>SUMPRODUCT(J8:J12)+((K13+K14)*98.25)/100</f>
        <v>0.23180249999999999</v>
      </c>
      <c r="K15" s="59">
        <f>1-J15</f>
        <v>0.76819749999999998</v>
      </c>
      <c r="M15" s="85"/>
      <c r="N15" s="711" t="s">
        <v>36</v>
      </c>
      <c r="O15" s="711"/>
      <c r="P15" s="711"/>
      <c r="Q15" s="103"/>
      <c r="T15" s="21" t="s">
        <v>48</v>
      </c>
      <c r="CP15" s="36">
        <v>14</v>
      </c>
    </row>
    <row r="16" spans="2:94" ht="13.5" customHeight="1" thickBot="1" x14ac:dyDescent="0.25">
      <c r="B16" s="677" t="s">
        <v>152</v>
      </c>
      <c r="C16" s="677"/>
      <c r="D16" s="181"/>
      <c r="E16" s="58">
        <f>E10+((F13+F14)*98.25)/100</f>
        <v>0.1057025</v>
      </c>
      <c r="F16" s="59">
        <f>1-E16</f>
        <v>0.89429749999999997</v>
      </c>
      <c r="G16" s="38"/>
      <c r="H16" s="182">
        <f>IF(AND('Mensualisation CDI'!$R$6="non",'Mensualisation CDD'!$R$6="non"),1-Sources!F16,1-Sources!K16)</f>
        <v>0.10570250000000003</v>
      </c>
      <c r="I16" s="183" t="s">
        <v>153</v>
      </c>
      <c r="J16" s="58">
        <f>(J8-E8)+J10+((K13+K14)*98.25)/100</f>
        <v>0.11870250000000002</v>
      </c>
      <c r="K16" s="59">
        <f>1-J16</f>
        <v>0.88129749999999996</v>
      </c>
      <c r="M16" s="85"/>
      <c r="N16" s="711"/>
      <c r="O16" s="711"/>
      <c r="P16" s="711"/>
      <c r="Q16" s="102"/>
      <c r="T16" s="21"/>
      <c r="CP16" s="36"/>
    </row>
    <row r="17" spans="2:94" ht="13.5" customHeight="1" thickBot="1" x14ac:dyDescent="0.25">
      <c r="B17" s="60" t="s">
        <v>72</v>
      </c>
      <c r="D17" s="38"/>
      <c r="E17" s="701" t="s">
        <v>73</v>
      </c>
      <c r="F17" s="38"/>
      <c r="G17" s="38"/>
      <c r="H17" s="182">
        <f>IF(AND('Mensualisation CDI'!$R$6="non",'Mensualisation CDD'!$R$6="non"),1-Sources!F15,1-Sources!K15)</f>
        <v>0.21880250000000001</v>
      </c>
      <c r="I17" s="183" t="s">
        <v>150</v>
      </c>
      <c r="J17" s="701" t="s">
        <v>73</v>
      </c>
      <c r="K17" s="40"/>
      <c r="M17" s="85"/>
      <c r="N17" s="711"/>
      <c r="O17" s="711"/>
      <c r="P17" s="711"/>
      <c r="Q17" s="102"/>
      <c r="R17" s="21" t="s">
        <v>43</v>
      </c>
      <c r="T17" s="16" t="s">
        <v>44</v>
      </c>
      <c r="CP17" s="36">
        <v>15</v>
      </c>
    </row>
    <row r="18" spans="2:94" ht="13.5" customHeight="1" thickBot="1" x14ac:dyDescent="0.25">
      <c r="B18" s="61" t="s">
        <v>75</v>
      </c>
      <c r="D18" s="38"/>
      <c r="E18" s="701"/>
      <c r="F18" s="38" t="s">
        <v>139</v>
      </c>
      <c r="G18" s="38"/>
      <c r="H18" s="182">
        <f>IF(AND('Mensualisation CDI'!$R$6="non",'Mensualisation CDD'!$R$6="non"),1-Sources!F16,1-Sources!K16)</f>
        <v>0.10570250000000003</v>
      </c>
      <c r="I18" s="183" t="s">
        <v>154</v>
      </c>
      <c r="J18" s="701"/>
      <c r="K18" s="40"/>
      <c r="M18" s="85"/>
      <c r="N18" s="23" t="s">
        <v>34</v>
      </c>
      <c r="P18" s="23" t="s">
        <v>35</v>
      </c>
      <c r="Q18" s="102"/>
      <c r="CP18" s="36">
        <v>16</v>
      </c>
    </row>
    <row r="19" spans="2:94" ht="13.5" customHeight="1" x14ac:dyDescent="0.2">
      <c r="B19" s="62" t="s">
        <v>90</v>
      </c>
      <c r="D19" s="38"/>
      <c r="E19" s="166">
        <v>0.30059999999999998</v>
      </c>
      <c r="F19" s="47"/>
      <c r="G19" s="47"/>
      <c r="H19" s="51">
        <f>IF(AND('Mensualisation CDI'!$R$6="non",'Mensualisation CDD'!$R$6="non"),Sources!E19,Sources!J19)</f>
        <v>0.30059999999999998</v>
      </c>
      <c r="I19" s="63"/>
      <c r="J19" s="166">
        <f>E19</f>
        <v>0.30059999999999998</v>
      </c>
      <c r="K19" s="40"/>
      <c r="M19" s="85"/>
      <c r="N19" s="23">
        <f>'Mensualisation CDI'!$AK$37*15/100</f>
        <v>0</v>
      </c>
      <c r="P19" s="23">
        <f>$N$19*12</f>
        <v>0</v>
      </c>
      <c r="Q19" s="102"/>
      <c r="R19" s="709" t="e">
        <f>'Mensualisation CDI'!AW26*'Mensualisation CDI'!AC26*Sources!R22</f>
        <v>#DIV/0!</v>
      </c>
      <c r="S19" s="709"/>
      <c r="T19" s="710" t="e">
        <f>Nbre_de_jours_annuels*IE_CCN</f>
        <v>#NAME?</v>
      </c>
      <c r="U19" s="710"/>
      <c r="CP19" s="36">
        <v>17</v>
      </c>
    </row>
    <row r="20" spans="2:94" ht="13.5" customHeight="1" x14ac:dyDescent="0.2">
      <c r="B20" s="62" t="s">
        <v>76</v>
      </c>
      <c r="D20" s="38"/>
      <c r="E20" s="167">
        <v>4.7199999999999999E-2</v>
      </c>
      <c r="F20" s="47"/>
      <c r="G20" s="47"/>
      <c r="H20" s="51">
        <f>IF(AND('Mensualisation CDI'!$R$6="non",'Mensualisation CDD'!$R$6="non"),Sources!E20,Sources!J20)</f>
        <v>4.7199999999999999E-2</v>
      </c>
      <c r="I20" s="63"/>
      <c r="J20" s="167">
        <v>4.7199999999999999E-2</v>
      </c>
      <c r="K20" s="40"/>
      <c r="T20" s="189" t="s">
        <v>164</v>
      </c>
      <c r="CP20" s="36">
        <v>18</v>
      </c>
    </row>
    <row r="21" spans="2:94" ht="13.5" customHeight="1" x14ac:dyDescent="0.2">
      <c r="B21" s="62" t="s">
        <v>77</v>
      </c>
      <c r="D21" s="38"/>
      <c r="E21" s="167">
        <v>1.29E-2</v>
      </c>
      <c r="F21" s="47"/>
      <c r="G21" s="47"/>
      <c r="H21" s="51">
        <f>IF(AND('Mensualisation CDI'!$R$6="non",'Mensualisation CDD'!$R$6="non"),Sources!E21,Sources!J21)</f>
        <v>1.29E-2</v>
      </c>
      <c r="I21" s="63"/>
      <c r="J21" s="167">
        <v>1.29E-2</v>
      </c>
      <c r="K21" s="40"/>
      <c r="M21" s="101"/>
      <c r="N21" s="21" t="s">
        <v>45</v>
      </c>
      <c r="Q21" s="692">
        <v>3500</v>
      </c>
      <c r="R21" s="692"/>
      <c r="T21" s="21" t="s">
        <v>189</v>
      </c>
      <c r="X21">
        <v>2026</v>
      </c>
      <c r="CP21" s="36">
        <v>19</v>
      </c>
    </row>
    <row r="22" spans="2:94" ht="13.5" customHeight="1" x14ac:dyDescent="0.2">
      <c r="B22" s="62" t="s">
        <v>78</v>
      </c>
      <c r="D22" s="38"/>
      <c r="E22" s="167">
        <v>0.04</v>
      </c>
      <c r="F22" s="47"/>
      <c r="G22" s="47"/>
      <c r="H22" s="51">
        <f>IF(AND('Mensualisation CDI'!$R$6="non",'Mensualisation CDD'!$R$6="non"),Sources!E22,Sources!J22)</f>
        <v>0.04</v>
      </c>
      <c r="I22" s="63"/>
      <c r="J22" s="167">
        <v>4.0500000000000001E-2</v>
      </c>
      <c r="K22" s="40"/>
      <c r="M22" s="101"/>
      <c r="N22" s="21" t="s">
        <v>42</v>
      </c>
      <c r="R22" s="99">
        <v>2.65</v>
      </c>
      <c r="T22" s="21" t="s">
        <v>165</v>
      </c>
      <c r="X22" s="99">
        <v>8.09</v>
      </c>
      <c r="CP22" s="36">
        <v>20</v>
      </c>
    </row>
    <row r="23" spans="2:94" ht="13.5" customHeight="1" x14ac:dyDescent="0.2">
      <c r="B23" s="62" t="s">
        <v>79</v>
      </c>
      <c r="D23" s="38"/>
      <c r="E23" s="167">
        <v>2.4500000000000001E-2</v>
      </c>
      <c r="F23" s="47"/>
      <c r="G23" s="47"/>
      <c r="H23" s="51">
        <f>IF(AND('Mensualisation CDI'!$R$6="non",'Mensualisation CDD'!$R$6="non"),Sources!E23,Sources!J23)</f>
        <v>2.4500000000000001E-2</v>
      </c>
      <c r="I23" s="63"/>
      <c r="J23" s="167">
        <v>2.1499999999999998E-2</v>
      </c>
      <c r="K23" s="40"/>
      <c r="M23" s="101"/>
      <c r="N23" s="21" t="s">
        <v>113</v>
      </c>
      <c r="Q23" s="98">
        <f>1-H15</f>
        <v>0.78119749999999999</v>
      </c>
      <c r="T23" s="21" t="s">
        <v>161</v>
      </c>
      <c r="X23" s="99">
        <v>4.91</v>
      </c>
      <c r="CP23" s="36">
        <v>21</v>
      </c>
    </row>
    <row r="24" spans="2:94" ht="13.5" customHeight="1" x14ac:dyDescent="0.2">
      <c r="B24" s="62" t="s">
        <v>80</v>
      </c>
      <c r="D24" s="38"/>
      <c r="E24" s="167">
        <v>8.5000000000000006E-3</v>
      </c>
      <c r="F24" s="47"/>
      <c r="G24" s="47"/>
      <c r="H24" s="51">
        <f>IF(AND('Mensualisation CDI'!$R$6="non",'Mensualisation CDD'!$R$6="non"),Sources!E24,Sources!J24)</f>
        <v>8.5000000000000006E-3</v>
      </c>
      <c r="I24" s="63"/>
      <c r="J24" s="167">
        <v>5.4999999999999997E-3</v>
      </c>
      <c r="K24" s="40"/>
      <c r="M24" s="101"/>
      <c r="N24" s="21" t="s">
        <v>114</v>
      </c>
      <c r="R24" s="691">
        <f>ROUNDUP(2.25 *R26/8,2)</f>
        <v>3.4099999999999997</v>
      </c>
      <c r="S24" s="691"/>
      <c r="CP24" s="36">
        <v>22</v>
      </c>
    </row>
    <row r="25" spans="2:94" ht="13.5" customHeight="1" thickBot="1" x14ac:dyDescent="0.25">
      <c r="B25" s="62" t="s">
        <v>81</v>
      </c>
      <c r="D25" s="38"/>
      <c r="E25" s="168">
        <v>1.6000000000000001E-4</v>
      </c>
      <c r="F25" s="47"/>
      <c r="G25" s="47"/>
      <c r="H25" s="64">
        <f>IF(AND('Mensualisation CDI'!$R$6="non",'Mensualisation CDD'!$R$6="non"),Sources!E25,Sources!J25)</f>
        <v>1.6000000000000001E-4</v>
      </c>
      <c r="I25" s="63"/>
      <c r="J25" s="168">
        <v>1.6000000000000001E-4</v>
      </c>
      <c r="K25" s="40"/>
      <c r="M25" s="101"/>
      <c r="N25" s="21" t="s">
        <v>115</v>
      </c>
      <c r="R25" s="692">
        <f>R24*Q23</f>
        <v>2.6638834749999996</v>
      </c>
      <c r="S25" s="692"/>
      <c r="T25" s="21" t="s">
        <v>167</v>
      </c>
      <c r="CP25" s="36">
        <v>23</v>
      </c>
    </row>
    <row r="26" spans="2:94" ht="13.5" customHeight="1" thickBot="1" x14ac:dyDescent="0.25">
      <c r="B26" s="712" t="s">
        <v>89</v>
      </c>
      <c r="C26" s="713"/>
      <c r="D26" s="713"/>
      <c r="E26" s="713"/>
      <c r="F26" s="713"/>
      <c r="G26" s="713"/>
      <c r="H26" s="713"/>
      <c r="I26" s="713"/>
      <c r="J26" s="713"/>
      <c r="K26" s="714"/>
      <c r="N26" s="21" t="s">
        <v>116</v>
      </c>
      <c r="R26" s="99">
        <v>12.09</v>
      </c>
      <c r="T26" s="21" t="s">
        <v>175</v>
      </c>
      <c r="CP26" s="36">
        <v>24</v>
      </c>
    </row>
    <row r="27" spans="2:94" ht="13.5" customHeight="1" x14ac:dyDescent="0.2">
      <c r="B27" s="702" t="str">
        <f ca="1">"Mise à jour du fichier le "&amp;TEXT(TODAY(),"jj/mm/aaaa")</f>
        <v>Mise à jour du fichier le 28/05/2026</v>
      </c>
      <c r="C27" s="702"/>
      <c r="D27" s="702"/>
      <c r="E27" s="702"/>
      <c r="F27" s="702"/>
      <c r="G27" s="702"/>
      <c r="H27" s="702"/>
      <c r="I27" s="702"/>
      <c r="J27" s="702"/>
      <c r="K27" s="702"/>
      <c r="T27" s="21" t="s">
        <v>176</v>
      </c>
      <c r="CP27" s="36">
        <v>25</v>
      </c>
    </row>
    <row r="28" spans="2:94" ht="13.5" customHeight="1" x14ac:dyDescent="0.2">
      <c r="B28" s="715" t="s">
        <v>198</v>
      </c>
      <c r="C28" s="716"/>
      <c r="D28" s="716"/>
      <c r="E28" s="716"/>
      <c r="F28" s="716"/>
      <c r="G28" s="716"/>
      <c r="H28" s="716"/>
      <c r="I28" s="716"/>
      <c r="J28" s="716"/>
      <c r="K28" s="716"/>
      <c r="N28" s="21" t="s">
        <v>117</v>
      </c>
      <c r="O28" s="146"/>
      <c r="P28" s="21" t="s">
        <v>118</v>
      </c>
      <c r="T28" s="21" t="s">
        <v>177</v>
      </c>
      <c r="CP28" s="36">
        <v>26</v>
      </c>
    </row>
    <row r="29" spans="2:94" ht="13.5" customHeight="1" x14ac:dyDescent="0.2">
      <c r="N29" s="80"/>
      <c r="O29" s="147"/>
      <c r="P29" s="21" t="s">
        <v>123</v>
      </c>
      <c r="T29" s="21" t="s">
        <v>178</v>
      </c>
      <c r="CP29" s="36">
        <v>27</v>
      </c>
    </row>
    <row r="30" spans="2:94" ht="13.5" customHeight="1" x14ac:dyDescent="0.2">
      <c r="H30" s="22"/>
      <c r="O30" s="150"/>
      <c r="P30" s="21" t="s">
        <v>119</v>
      </c>
      <c r="AM30"/>
      <c r="CP30" s="36">
        <v>28</v>
      </c>
    </row>
    <row r="31" spans="2:94" ht="13.5" customHeight="1" x14ac:dyDescent="0.2">
      <c r="H31" s="22"/>
      <c r="O31" s="145"/>
      <c r="P31" s="21" t="s">
        <v>118</v>
      </c>
      <c r="AM31"/>
      <c r="CP31" s="36"/>
    </row>
    <row r="32" spans="2:94" ht="13.5" customHeight="1" x14ac:dyDescent="0.2">
      <c r="H32" s="22"/>
      <c r="AM32"/>
      <c r="CP32" s="36"/>
    </row>
    <row r="33" spans="5:94" ht="13.5" customHeight="1" x14ac:dyDescent="0.2">
      <c r="H33" s="690" t="s">
        <v>156</v>
      </c>
      <c r="I33" s="690"/>
      <c r="J33" s="690"/>
      <c r="K33" s="690"/>
      <c r="L33" s="690"/>
      <c r="M33" s="690"/>
      <c r="N33" s="717" t="s">
        <v>21</v>
      </c>
      <c r="O33" s="717"/>
      <c r="P33" s="717"/>
      <c r="Q33" s="717" t="s">
        <v>22</v>
      </c>
      <c r="R33" s="717"/>
      <c r="S33" s="717"/>
      <c r="T33" s="693" t="s">
        <v>23</v>
      </c>
      <c r="U33" s="693"/>
      <c r="V33" s="693"/>
      <c r="W33" s="690" t="s">
        <v>39</v>
      </c>
      <c r="X33" s="690"/>
      <c r="Y33" s="690"/>
      <c r="Z33" s="91">
        <v>0.4</v>
      </c>
      <c r="AA33" s="91"/>
      <c r="AB33" s="690" t="s">
        <v>129</v>
      </c>
      <c r="AC33" s="690"/>
      <c r="AD33" s="690"/>
      <c r="AE33" s="690"/>
      <c r="AF33" s="690"/>
      <c r="AG33" s="690"/>
      <c r="AH33" s="690"/>
      <c r="AJ33"/>
      <c r="AM33"/>
      <c r="CP33" s="36">
        <v>29</v>
      </c>
    </row>
    <row r="34" spans="5:94" ht="13.5" customHeight="1" x14ac:dyDescent="0.2">
      <c r="H34" s="690"/>
      <c r="I34" s="690"/>
      <c r="J34" s="690"/>
      <c r="K34" s="690"/>
      <c r="L34" s="690"/>
      <c r="M34" s="690"/>
      <c r="N34" s="717"/>
      <c r="O34" s="717"/>
      <c r="P34" s="717"/>
      <c r="Q34" s="717"/>
      <c r="R34" s="717"/>
      <c r="S34" s="717"/>
      <c r="T34" s="693"/>
      <c r="U34" s="693"/>
      <c r="V34" s="693"/>
      <c r="W34" s="690"/>
      <c r="X34" s="690"/>
      <c r="Y34" s="690"/>
      <c r="Z34" s="172" t="b">
        <v>0</v>
      </c>
      <c r="AA34" s="72"/>
      <c r="AB34" s="690"/>
      <c r="AC34" s="690"/>
      <c r="AD34" s="690"/>
      <c r="AE34" s="690"/>
      <c r="AF34" s="690"/>
      <c r="AG34" s="690"/>
      <c r="AH34" s="690"/>
      <c r="AJ34"/>
      <c r="AM34"/>
      <c r="CP34" s="36">
        <v>30</v>
      </c>
    </row>
    <row r="35" spans="5:94" ht="13.5" customHeight="1" x14ac:dyDescent="0.2">
      <c r="H35" s="1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/>
      <c r="CP35" s="36">
        <v>31</v>
      </c>
    </row>
    <row r="36" spans="5:94" ht="13.5" customHeight="1" x14ac:dyDescent="0.2">
      <c r="G36" s="127">
        <f>IF(H36="Plafond de ressources -Enfant né  à partir du 1er avril 2015",1,2)</f>
        <v>2</v>
      </c>
      <c r="H36" s="128" t="str">
        <f>IF('Mensualisation CDI'!AB52="non","Plafond de ressources -Enfant né  à partir du 1er avril 2015","Plafond de ressources -Enfant né  avant le 1er avril 2015")</f>
        <v>Plafond de ressources -Enfant né  avant le 1er avril 2015</v>
      </c>
      <c r="I36" s="128"/>
      <c r="J36" s="128"/>
      <c r="K36" s="128"/>
      <c r="L36" s="128"/>
      <c r="M36" s="128"/>
      <c r="N36" s="12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148" t="s">
        <v>124</v>
      </c>
      <c r="AA36" s="593"/>
      <c r="AB36" s="593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/>
    </row>
    <row r="37" spans="5:94" ht="13.5" customHeight="1" x14ac:dyDescent="0.2"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04"/>
      <c r="AB37" s="104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/>
    </row>
    <row r="38" spans="5:94" ht="13.5" customHeight="1" x14ac:dyDescent="0.2">
      <c r="H38" s="21" t="s">
        <v>147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04"/>
      <c r="AB38" s="104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/>
    </row>
    <row r="39" spans="5:94" ht="13.5" customHeight="1" x14ac:dyDescent="0.2">
      <c r="E39" s="142"/>
      <c r="F39" s="142"/>
      <c r="G39" s="143"/>
      <c r="H39" s="678" t="s">
        <v>104</v>
      </c>
      <c r="I39" s="679"/>
      <c r="J39" s="679"/>
      <c r="K39" s="679"/>
      <c r="L39" s="679"/>
      <c r="M39" s="680"/>
      <c r="N39" s="684">
        <v>23903</v>
      </c>
      <c r="O39" s="685"/>
      <c r="P39" s="686"/>
      <c r="Q39" s="684">
        <f>N39+X39</f>
        <v>27295</v>
      </c>
      <c r="R39" s="685"/>
      <c r="S39" s="686"/>
      <c r="T39" s="684">
        <f>N39+2*X39</f>
        <v>30687</v>
      </c>
      <c r="U39" s="685"/>
      <c r="V39" s="686"/>
      <c r="W39" s="625" t="s">
        <v>109</v>
      </c>
      <c r="X39" s="665">
        <v>3392</v>
      </c>
      <c r="Y39" s="666"/>
      <c r="Z39" s="639">
        <f>$T$39+$X$39</f>
        <v>34079</v>
      </c>
      <c r="AA39" s="622" t="s">
        <v>107</v>
      </c>
      <c r="AB39" s="623"/>
      <c r="AC39" s="623"/>
      <c r="AD39" s="623"/>
      <c r="AE39" s="646">
        <v>538.27</v>
      </c>
      <c r="AF39" s="646"/>
      <c r="AG39" s="646"/>
      <c r="AH39" s="646"/>
      <c r="AJ39"/>
      <c r="AM39"/>
    </row>
    <row r="40" spans="5:94" ht="13.5" customHeight="1" x14ac:dyDescent="0.2">
      <c r="E40" s="142"/>
      <c r="F40" s="142"/>
      <c r="G40" s="143"/>
      <c r="H40" s="681"/>
      <c r="I40" s="682"/>
      <c r="J40" s="682"/>
      <c r="K40" s="682"/>
      <c r="L40" s="682"/>
      <c r="M40" s="683"/>
      <c r="N40" s="687"/>
      <c r="O40" s="688"/>
      <c r="P40" s="689"/>
      <c r="Q40" s="687"/>
      <c r="R40" s="688"/>
      <c r="S40" s="689"/>
      <c r="T40" s="687"/>
      <c r="U40" s="688"/>
      <c r="V40" s="689"/>
      <c r="W40" s="626"/>
      <c r="X40" s="667"/>
      <c r="Y40" s="668"/>
      <c r="Z40" s="640"/>
      <c r="AA40" s="637" t="s">
        <v>108</v>
      </c>
      <c r="AB40" s="637"/>
      <c r="AC40" s="637"/>
      <c r="AD40" s="637"/>
      <c r="AE40" s="675">
        <v>269.14</v>
      </c>
      <c r="AF40" s="676"/>
      <c r="AG40" s="676"/>
      <c r="AH40" s="676"/>
      <c r="AJ40"/>
      <c r="AM40"/>
    </row>
    <row r="41" spans="5:94" ht="13.5" customHeight="1" x14ac:dyDescent="0.2">
      <c r="E41" s="142"/>
      <c r="F41" s="142"/>
      <c r="G41" s="144">
        <v>1</v>
      </c>
      <c r="H41" s="725" t="s">
        <v>125</v>
      </c>
      <c r="I41" s="726"/>
      <c r="J41" s="726"/>
      <c r="K41" s="726"/>
      <c r="L41" s="726"/>
      <c r="M41" s="120"/>
      <c r="N41" s="647">
        <f>IF($G$36=1,$N$39,$N$75)</f>
        <v>21332</v>
      </c>
      <c r="O41" s="648"/>
      <c r="P41" s="649"/>
      <c r="Q41" s="647">
        <f>IF($G$36=1,$Q$39,$Q$75)</f>
        <v>24561</v>
      </c>
      <c r="R41" s="648"/>
      <c r="S41" s="649"/>
      <c r="T41" s="647">
        <f>IF($G$36=1,$T$39,$T$75)</f>
        <v>28435</v>
      </c>
      <c r="U41" s="648"/>
      <c r="V41" s="649"/>
      <c r="W41" s="121"/>
      <c r="X41" s="122"/>
      <c r="Y41" s="122"/>
      <c r="Z41" s="123">
        <f>IF($G$36=1,$Z$39,$Z$75)</f>
        <v>32309</v>
      </c>
      <c r="AJ41"/>
      <c r="AM41"/>
    </row>
    <row r="42" spans="5:94" ht="13.5" customHeight="1" x14ac:dyDescent="0.2">
      <c r="E42" s="142"/>
      <c r="F42" s="142"/>
      <c r="G42" s="144">
        <v>2</v>
      </c>
      <c r="AA42" s="622" t="s">
        <v>107</v>
      </c>
      <c r="AB42" s="623"/>
      <c r="AC42" s="623"/>
      <c r="AD42" s="623"/>
      <c r="AE42" s="657">
        <f>IF($G$36=1,$AE$39,$AE$75)</f>
        <v>468.82</v>
      </c>
      <c r="AF42" s="657"/>
      <c r="AG42" s="657"/>
      <c r="AH42" s="657"/>
      <c r="AJ42"/>
      <c r="AM42"/>
    </row>
    <row r="43" spans="5:94" ht="13.5" customHeight="1" x14ac:dyDescent="0.2">
      <c r="E43" s="142"/>
      <c r="F43" s="142"/>
      <c r="G43" s="144">
        <v>3</v>
      </c>
      <c r="AA43" s="637" t="s">
        <v>108</v>
      </c>
      <c r="AB43" s="637"/>
      <c r="AC43" s="637"/>
      <c r="AD43" s="637"/>
      <c r="AE43" s="657">
        <f>IF($G$36=1,$AE$40,$AE$76)</f>
        <v>234.41</v>
      </c>
      <c r="AF43" s="657"/>
      <c r="AG43" s="657"/>
      <c r="AH43" s="657"/>
      <c r="AJ43"/>
      <c r="AM43"/>
    </row>
    <row r="44" spans="5:94" ht="13.5" customHeight="1" x14ac:dyDescent="0.2">
      <c r="E44" s="142"/>
      <c r="F44" s="142"/>
      <c r="G44" s="143"/>
      <c r="AJ44"/>
      <c r="AM44"/>
    </row>
    <row r="45" spans="5:94" ht="13.5" customHeight="1" x14ac:dyDescent="0.2">
      <c r="E45" s="142"/>
      <c r="F45" s="151" t="s">
        <v>126</v>
      </c>
      <c r="G45" s="143"/>
      <c r="H45" s="619" t="s">
        <v>110</v>
      </c>
      <c r="I45" s="620"/>
      <c r="J45" s="620"/>
      <c r="K45" s="620"/>
      <c r="L45" s="620"/>
      <c r="M45" s="621"/>
      <c r="N45" s="703">
        <f>IF($Z$34=FALSE,$N$41,(($N$41*40/100)+$N$41))</f>
        <v>21332</v>
      </c>
      <c r="O45" s="704"/>
      <c r="P45" s="705"/>
      <c r="Q45" s="703">
        <f>IF($Z$34=FALSE,$Q$41,(($Q$41*40/100)+$Q$41))</f>
        <v>24561</v>
      </c>
      <c r="R45" s="704"/>
      <c r="S45" s="705"/>
      <c r="T45" s="638">
        <f>IF($Z$34=FALSE,$T$41,(($T$41*40/100)+$T$41))</f>
        <v>28435</v>
      </c>
      <c r="U45" s="638"/>
      <c r="V45" s="638"/>
      <c r="W45" s="133"/>
      <c r="X45" s="134"/>
      <c r="Y45" s="134"/>
      <c r="Z45" s="132">
        <f>IF($Z$34=FALSE,$Z$41,($Z$41*40/100)+$Z$41)</f>
        <v>32309</v>
      </c>
      <c r="AA45" s="650" t="s">
        <v>107</v>
      </c>
      <c r="AB45" s="651"/>
      <c r="AC45" s="651"/>
      <c r="AD45" s="651"/>
      <c r="AE45" s="652">
        <f>IF($Z$34=FALSE,$AE$42,(($AE$42*30/100)+$AE$42))</f>
        <v>468.82</v>
      </c>
      <c r="AF45" s="652"/>
      <c r="AG45" s="652"/>
      <c r="AH45" s="652"/>
      <c r="AJ45"/>
      <c r="AM45"/>
    </row>
    <row r="46" spans="5:94" ht="13.5" customHeight="1" x14ac:dyDescent="0.2">
      <c r="E46" s="142"/>
      <c r="F46" s="142"/>
      <c r="G46" s="143"/>
      <c r="O46" s="7"/>
      <c r="P46" s="7"/>
      <c r="Q46" s="88"/>
      <c r="R46" s="88"/>
      <c r="S46" s="88"/>
      <c r="T46" s="88"/>
      <c r="U46" s="88"/>
      <c r="V46" s="88"/>
      <c r="W46" s="89"/>
      <c r="X46" s="90"/>
      <c r="Y46" s="90"/>
      <c r="Z46" s="90"/>
      <c r="AA46" s="637" t="s">
        <v>108</v>
      </c>
      <c r="AB46" s="637"/>
      <c r="AC46" s="637"/>
      <c r="AD46" s="637"/>
      <c r="AE46" s="652">
        <f>IF($Z$34=FALSE,$AE$43,(($AE$43*30/100)+$AE$43))</f>
        <v>234.41</v>
      </c>
      <c r="AF46" s="652"/>
      <c r="AG46" s="652"/>
      <c r="AH46" s="652"/>
      <c r="AJ46"/>
      <c r="AM46"/>
    </row>
    <row r="47" spans="5:94" ht="13.5" customHeight="1" x14ac:dyDescent="0.2">
      <c r="E47" s="142"/>
      <c r="F47" s="142"/>
      <c r="G47" s="143"/>
      <c r="O47" s="7"/>
      <c r="P47" s="7"/>
      <c r="Q47" s="88"/>
      <c r="R47" s="88"/>
      <c r="S47" s="88"/>
      <c r="T47" s="88"/>
      <c r="U47" s="88"/>
      <c r="V47" s="88"/>
      <c r="W47" s="89"/>
      <c r="X47" s="90"/>
      <c r="Y47" s="90"/>
      <c r="Z47" s="90"/>
      <c r="AE47" s="7"/>
      <c r="AF47" s="7"/>
      <c r="AG47" s="7"/>
      <c r="AH47" s="7"/>
      <c r="AJ47"/>
      <c r="AM47"/>
    </row>
    <row r="48" spans="5:94" ht="13.5" customHeight="1" x14ac:dyDescent="0.2">
      <c r="E48" s="142"/>
      <c r="F48" s="142"/>
      <c r="G48" s="143"/>
      <c r="H48" s="659" t="s">
        <v>105</v>
      </c>
      <c r="I48" s="660"/>
      <c r="J48" s="660"/>
      <c r="K48" s="660"/>
      <c r="L48" s="660"/>
      <c r="M48" s="661"/>
      <c r="N48" s="684">
        <v>53119</v>
      </c>
      <c r="O48" s="685"/>
      <c r="P48" s="686"/>
      <c r="Q48" s="624">
        <f>N48+X48</f>
        <v>60659</v>
      </c>
      <c r="R48" s="624"/>
      <c r="S48" s="624"/>
      <c r="T48" s="606">
        <f>N48+2*X48</f>
        <v>68199</v>
      </c>
      <c r="U48" s="606"/>
      <c r="V48" s="606"/>
      <c r="W48" s="625" t="s">
        <v>109</v>
      </c>
      <c r="X48" s="665">
        <v>7540</v>
      </c>
      <c r="Y48" s="666"/>
      <c r="Z48" s="639">
        <f>$T$48+$X$48</f>
        <v>75739</v>
      </c>
      <c r="AA48" s="622" t="s">
        <v>107</v>
      </c>
      <c r="AB48" s="623"/>
      <c r="AC48" s="623"/>
      <c r="AD48" s="623"/>
      <c r="AE48" s="646">
        <v>339.42</v>
      </c>
      <c r="AF48" s="646"/>
      <c r="AG48" s="646"/>
      <c r="AH48" s="646"/>
      <c r="AJ48"/>
      <c r="AM48"/>
    </row>
    <row r="49" spans="5:39" ht="13.5" customHeight="1" x14ac:dyDescent="0.2">
      <c r="E49" s="142"/>
      <c r="F49" s="142"/>
      <c r="G49" s="143"/>
      <c r="H49" s="662"/>
      <c r="I49" s="663"/>
      <c r="J49" s="663"/>
      <c r="K49" s="663"/>
      <c r="L49" s="663"/>
      <c r="M49" s="664"/>
      <c r="N49" s="687"/>
      <c r="O49" s="688"/>
      <c r="P49" s="689"/>
      <c r="Q49" s="624"/>
      <c r="R49" s="624"/>
      <c r="S49" s="624"/>
      <c r="T49" s="606"/>
      <c r="U49" s="606"/>
      <c r="V49" s="606"/>
      <c r="W49" s="626"/>
      <c r="X49" s="667"/>
      <c r="Y49" s="668"/>
      <c r="Z49" s="640"/>
      <c r="AA49" s="637" t="s">
        <v>108</v>
      </c>
      <c r="AB49" s="637"/>
      <c r="AC49" s="637"/>
      <c r="AD49" s="637"/>
      <c r="AE49" s="646">
        <v>169.73</v>
      </c>
      <c r="AF49" s="646"/>
      <c r="AG49" s="646"/>
      <c r="AH49" s="646"/>
      <c r="AJ49"/>
      <c r="AM49"/>
    </row>
    <row r="50" spans="5:39" ht="13.5" customHeight="1" x14ac:dyDescent="0.2">
      <c r="E50" s="142"/>
      <c r="F50" s="142"/>
      <c r="G50" s="144">
        <v>1</v>
      </c>
      <c r="H50" s="725" t="s">
        <v>125</v>
      </c>
      <c r="I50" s="726"/>
      <c r="J50" s="726"/>
      <c r="K50" s="726"/>
      <c r="L50" s="726"/>
      <c r="M50" s="126"/>
      <c r="N50" s="647">
        <f>IF($G$36=1,$N$48,$N$81)</f>
        <v>47405</v>
      </c>
      <c r="O50" s="648"/>
      <c r="P50" s="649"/>
      <c r="Q50" s="647">
        <f>IF($G$36=1,$Q$48,$Q$81)</f>
        <v>54579</v>
      </c>
      <c r="R50" s="648"/>
      <c r="S50" s="649"/>
      <c r="T50" s="647">
        <f>IF($G$36=1,$T$48,$T$81)</f>
        <v>63188</v>
      </c>
      <c r="U50" s="648"/>
      <c r="V50" s="649"/>
      <c r="W50" s="121"/>
      <c r="X50" s="122"/>
      <c r="Y50" s="122"/>
      <c r="Z50" s="123">
        <f>IF($G$36=1,$Z$48,$Z$81)</f>
        <v>71797</v>
      </c>
      <c r="AJ50"/>
      <c r="AM50"/>
    </row>
    <row r="51" spans="5:39" ht="13.5" customHeight="1" x14ac:dyDescent="0.2">
      <c r="E51" s="142"/>
      <c r="F51" s="142"/>
      <c r="G51" s="144">
        <v>2</v>
      </c>
      <c r="AA51" s="622" t="s">
        <v>107</v>
      </c>
      <c r="AB51" s="623"/>
      <c r="AC51" s="623"/>
      <c r="AD51" s="623"/>
      <c r="AE51" s="657">
        <f>IF($G$36=1,AE48,AE81)</f>
        <v>295.62</v>
      </c>
      <c r="AF51" s="657"/>
      <c r="AG51" s="657"/>
      <c r="AH51" s="657"/>
      <c r="AJ51"/>
      <c r="AM51"/>
    </row>
    <row r="52" spans="5:39" ht="13.5" customHeight="1" x14ac:dyDescent="0.2">
      <c r="E52" s="142"/>
      <c r="F52" s="142"/>
      <c r="G52" s="144">
        <v>3</v>
      </c>
      <c r="AA52" s="637" t="s">
        <v>108</v>
      </c>
      <c r="AB52" s="637"/>
      <c r="AC52" s="637"/>
      <c r="AD52" s="637"/>
      <c r="AE52" s="657">
        <f>IF($G$36=1,AE49,AE82)</f>
        <v>147.83000000000001</v>
      </c>
      <c r="AF52" s="657"/>
      <c r="AG52" s="657"/>
      <c r="AH52" s="657"/>
      <c r="AJ52"/>
      <c r="AM52"/>
    </row>
    <row r="53" spans="5:39" ht="13.5" customHeight="1" x14ac:dyDescent="0.2">
      <c r="E53" s="142"/>
      <c r="F53" s="142"/>
      <c r="G53" s="143"/>
      <c r="AJ53"/>
      <c r="AM53"/>
    </row>
    <row r="54" spans="5:39" ht="13.5" customHeight="1" x14ac:dyDescent="0.2">
      <c r="E54" s="142"/>
      <c r="F54" s="142"/>
      <c r="G54" s="143"/>
      <c r="H54" s="619" t="s">
        <v>110</v>
      </c>
      <c r="I54" s="620"/>
      <c r="J54" s="620"/>
      <c r="K54" s="620"/>
      <c r="L54" s="620"/>
      <c r="M54" s="621"/>
      <c r="N54" s="638">
        <f>IF($Z$34=FALSE,$N$50,(($N$50*40/100)+$N$50))</f>
        <v>47405</v>
      </c>
      <c r="O54" s="638"/>
      <c r="P54" s="638"/>
      <c r="Q54" s="638">
        <f>IF($Z$34=FALSE,$Q$50,(($Q$50*40/100)+$Q$50))</f>
        <v>54579</v>
      </c>
      <c r="R54" s="638"/>
      <c r="S54" s="638"/>
      <c r="T54" s="638">
        <f>IF($Z$34=FALSE,$T$50,(($T$50*40/100)+$T$50))</f>
        <v>63188</v>
      </c>
      <c r="U54" s="638"/>
      <c r="V54" s="638"/>
      <c r="W54" s="133"/>
      <c r="X54" s="134"/>
      <c r="Y54" s="135"/>
      <c r="Z54" s="132">
        <f>IF($Z$34=FALSE,$Z$50,($Z$50*40/100)+$Z$50)</f>
        <v>71797</v>
      </c>
      <c r="AA54" s="650" t="s">
        <v>107</v>
      </c>
      <c r="AB54" s="651"/>
      <c r="AC54" s="651"/>
      <c r="AD54" s="651"/>
      <c r="AE54" s="652">
        <f>IF($Z$34=FALSE,AE48,((AE48*30/100)+AE48))</f>
        <v>339.42</v>
      </c>
      <c r="AF54" s="652"/>
      <c r="AG54" s="652"/>
      <c r="AH54" s="652"/>
      <c r="AJ54"/>
      <c r="AM54"/>
    </row>
    <row r="55" spans="5:39" ht="13.5" customHeight="1" x14ac:dyDescent="0.2">
      <c r="E55" s="142"/>
      <c r="F55" s="142"/>
      <c r="G55" s="143"/>
      <c r="H55" s="92"/>
      <c r="I55" s="86"/>
      <c r="J55" s="86"/>
      <c r="W55" s="94"/>
      <c r="AA55" s="637" t="s">
        <v>108</v>
      </c>
      <c r="AB55" s="637"/>
      <c r="AC55" s="637"/>
      <c r="AD55" s="637"/>
      <c r="AE55" s="652">
        <f>IF($Z$34=FALSE,AE49,((AE49*30/100)+AE49))</f>
        <v>169.73</v>
      </c>
      <c r="AF55" s="652"/>
      <c r="AG55" s="652"/>
      <c r="AH55" s="652"/>
      <c r="AJ55"/>
      <c r="AM55"/>
    </row>
    <row r="56" spans="5:39" ht="13.5" customHeight="1" x14ac:dyDescent="0.2">
      <c r="E56" s="142"/>
      <c r="F56" s="142"/>
      <c r="G56" s="143"/>
      <c r="H56" s="92"/>
      <c r="I56" s="86"/>
      <c r="J56" s="86"/>
      <c r="K56" s="86"/>
      <c r="L56" s="86"/>
      <c r="M56" s="93"/>
      <c r="W56" s="94"/>
      <c r="X56" s="95"/>
      <c r="Y56" s="96"/>
      <c r="Z56" s="97"/>
      <c r="AE56" s="87"/>
      <c r="AF56" s="87"/>
      <c r="AG56" s="87"/>
      <c r="AH56" s="87"/>
      <c r="AJ56"/>
      <c r="AM56"/>
    </row>
    <row r="57" spans="5:39" ht="13.5" customHeight="1" x14ac:dyDescent="0.2">
      <c r="E57" s="142"/>
      <c r="F57" s="142"/>
      <c r="G57" s="143"/>
      <c r="H57" s="659" t="s">
        <v>105</v>
      </c>
      <c r="I57" s="660"/>
      <c r="J57" s="660"/>
      <c r="K57" s="660"/>
      <c r="L57" s="660"/>
      <c r="M57" s="661"/>
      <c r="N57" s="658">
        <f>N48</f>
        <v>53119</v>
      </c>
      <c r="O57" s="658"/>
      <c r="P57" s="658"/>
      <c r="Q57" s="658">
        <f>Q48</f>
        <v>60659</v>
      </c>
      <c r="R57" s="658"/>
      <c r="S57" s="658"/>
      <c r="T57" s="658">
        <f>T48</f>
        <v>68199</v>
      </c>
      <c r="U57" s="658"/>
      <c r="V57" s="658"/>
      <c r="W57" s="669" t="s">
        <v>109</v>
      </c>
      <c r="X57" s="671">
        <f>X48</f>
        <v>7540</v>
      </c>
      <c r="Y57" s="672"/>
      <c r="Z57" s="635">
        <f>$T$57+$X$57</f>
        <v>75739</v>
      </c>
      <c r="AA57" s="650" t="s">
        <v>107</v>
      </c>
      <c r="AB57" s="651"/>
      <c r="AC57" s="651"/>
      <c r="AD57" s="651"/>
      <c r="AE57" s="645">
        <f>AE48</f>
        <v>339.42</v>
      </c>
      <c r="AF57" s="645"/>
      <c r="AG57" s="645"/>
      <c r="AH57" s="645"/>
      <c r="AJ57"/>
      <c r="AM57"/>
    </row>
    <row r="58" spans="5:39" ht="13.5" customHeight="1" x14ac:dyDescent="0.2">
      <c r="E58" s="142"/>
      <c r="F58" s="142"/>
      <c r="G58" s="143"/>
      <c r="H58" s="662"/>
      <c r="I58" s="663"/>
      <c r="J58" s="663"/>
      <c r="K58" s="663"/>
      <c r="L58" s="663"/>
      <c r="M58" s="664"/>
      <c r="N58" s="658"/>
      <c r="O58" s="658"/>
      <c r="P58" s="658"/>
      <c r="Q58" s="658"/>
      <c r="R58" s="658"/>
      <c r="S58" s="658"/>
      <c r="T58" s="658"/>
      <c r="U58" s="658"/>
      <c r="V58" s="658"/>
      <c r="W58" s="670"/>
      <c r="X58" s="673"/>
      <c r="Y58" s="674"/>
      <c r="Z58" s="636"/>
      <c r="AA58" s="637" t="s">
        <v>108</v>
      </c>
      <c r="AB58" s="637"/>
      <c r="AC58" s="637"/>
      <c r="AD58" s="637"/>
      <c r="AE58" s="645">
        <f>AE49</f>
        <v>169.73</v>
      </c>
      <c r="AF58" s="645"/>
      <c r="AG58" s="645"/>
      <c r="AH58" s="645"/>
      <c r="AJ58"/>
      <c r="AM58"/>
    </row>
    <row r="59" spans="5:39" ht="13.5" customHeight="1" x14ac:dyDescent="0.2">
      <c r="E59" s="142"/>
      <c r="F59" s="142"/>
      <c r="G59" s="143"/>
      <c r="H59" s="124"/>
      <c r="I59" s="125"/>
      <c r="J59" s="125"/>
      <c r="K59" s="125"/>
      <c r="L59" s="125"/>
      <c r="M59" s="126"/>
      <c r="N59" s="647">
        <f>IF($G$36=1,$N$57,$N$86)</f>
        <v>47405</v>
      </c>
      <c r="O59" s="648"/>
      <c r="P59" s="649"/>
      <c r="Q59" s="647">
        <f>IF($G$36=1,$Q$57,$Q$86)</f>
        <v>54579</v>
      </c>
      <c r="R59" s="648"/>
      <c r="S59" s="649"/>
      <c r="T59" s="647">
        <f>IF($G$36=1,$T$57,$T$86)</f>
        <v>63188</v>
      </c>
      <c r="U59" s="648"/>
      <c r="V59" s="649"/>
      <c r="W59" s="121"/>
      <c r="X59" s="122"/>
      <c r="Y59" s="122"/>
      <c r="Z59" s="123">
        <f>IF($G$36=1,$Z$57,$Z$86)</f>
        <v>71797</v>
      </c>
      <c r="AE59" s="7"/>
      <c r="AF59" s="7"/>
      <c r="AG59" s="7"/>
      <c r="AH59" s="7"/>
      <c r="AJ59"/>
      <c r="AM59"/>
    </row>
    <row r="60" spans="5:39" ht="13.5" customHeight="1" x14ac:dyDescent="0.2">
      <c r="E60" s="142"/>
      <c r="F60" s="142"/>
      <c r="G60" s="143"/>
      <c r="H60" s="149"/>
      <c r="I60" s="149"/>
      <c r="J60" s="149"/>
      <c r="K60" s="149"/>
      <c r="L60" s="149"/>
      <c r="M60" s="149"/>
      <c r="N60" s="149"/>
      <c r="O60" s="149"/>
      <c r="P60" s="149"/>
      <c r="AA60" s="622" t="s">
        <v>107</v>
      </c>
      <c r="AB60" s="623"/>
      <c r="AC60" s="623"/>
      <c r="AD60" s="623"/>
      <c r="AE60" s="657">
        <f>IF($G$36=1,AE57,AE90)</f>
        <v>0</v>
      </c>
      <c r="AF60" s="657"/>
      <c r="AG60" s="657"/>
      <c r="AH60" s="657"/>
      <c r="AJ60"/>
      <c r="AM60"/>
    </row>
    <row r="61" spans="5:39" ht="13.5" customHeight="1" x14ac:dyDescent="0.2">
      <c r="E61" s="142"/>
      <c r="F61" s="142"/>
      <c r="G61" s="143"/>
      <c r="H61" s="149"/>
      <c r="I61" s="149"/>
      <c r="J61" s="149"/>
      <c r="K61" s="149"/>
      <c r="L61" s="149"/>
      <c r="M61" s="149"/>
      <c r="N61" s="149"/>
      <c r="O61" s="149"/>
      <c r="P61" s="149"/>
      <c r="AA61" s="637" t="s">
        <v>108</v>
      </c>
      <c r="AB61" s="637"/>
      <c r="AC61" s="637"/>
      <c r="AD61" s="637"/>
      <c r="AE61" s="657">
        <f>IF($G$36=1,AE58,AE91)</f>
        <v>177.35</v>
      </c>
      <c r="AF61" s="657"/>
      <c r="AG61" s="657"/>
      <c r="AH61" s="657"/>
      <c r="AJ61"/>
      <c r="AM61"/>
    </row>
    <row r="62" spans="5:39" ht="13.5" customHeight="1" x14ac:dyDescent="0.2">
      <c r="E62" s="142"/>
      <c r="F62" s="142"/>
      <c r="G62" s="143"/>
      <c r="AE62" s="7"/>
      <c r="AF62" s="7"/>
      <c r="AG62" s="7"/>
      <c r="AH62" s="7"/>
      <c r="AJ62"/>
      <c r="AM62"/>
    </row>
    <row r="63" spans="5:39" ht="13.5" customHeight="1" x14ac:dyDescent="0.2">
      <c r="E63" s="142"/>
      <c r="F63" s="151" t="s">
        <v>126</v>
      </c>
      <c r="G63" s="143"/>
      <c r="H63" s="619" t="s">
        <v>110</v>
      </c>
      <c r="I63" s="620"/>
      <c r="J63" s="620"/>
      <c r="K63" s="620"/>
      <c r="L63" s="620"/>
      <c r="M63" s="621"/>
      <c r="N63" s="638">
        <f>IF($Z$34=FALSE,$N$59,(($N$59*40/100)+$N$59))</f>
        <v>47405</v>
      </c>
      <c r="O63" s="638"/>
      <c r="P63" s="638"/>
      <c r="Q63" s="638">
        <f>IF($Z$34=FALSE,$Q$59,(($Q$59*40/100)+$Q$59))</f>
        <v>54579</v>
      </c>
      <c r="R63" s="638"/>
      <c r="S63" s="638"/>
      <c r="T63" s="638">
        <f>IF($Z$34=FALSE,$T$59,(($T$59*40/100)+$T$59))</f>
        <v>63188</v>
      </c>
      <c r="U63" s="638"/>
      <c r="V63" s="638"/>
      <c r="W63" s="133"/>
      <c r="X63" s="134"/>
      <c r="Y63" s="135"/>
      <c r="Z63" s="132">
        <f>IF($Z$34=FALSE,$Z$59,($Z$59*40/100)+$Z$59)</f>
        <v>71797</v>
      </c>
      <c r="AA63" s="650" t="s">
        <v>107</v>
      </c>
      <c r="AB63" s="651"/>
      <c r="AC63" s="651"/>
      <c r="AD63" s="651"/>
      <c r="AE63" s="652">
        <f>IF($Z$34=FALSE,$AE$51,(($AE$51*30/100)+$AE$51))</f>
        <v>295.62</v>
      </c>
      <c r="AF63" s="652"/>
      <c r="AG63" s="652"/>
      <c r="AH63" s="652"/>
      <c r="AJ63"/>
      <c r="AM63"/>
    </row>
    <row r="64" spans="5:39" ht="13.5" customHeight="1" x14ac:dyDescent="0.2">
      <c r="E64" s="142"/>
      <c r="F64" s="142"/>
      <c r="G64" s="143"/>
      <c r="AA64" s="637" t="s">
        <v>108</v>
      </c>
      <c r="AB64" s="637"/>
      <c r="AC64" s="637"/>
      <c r="AD64" s="637"/>
      <c r="AE64" s="652">
        <f>IF($Z$34=FALSE,$AE$52,(($AE$52*30/100)+$AE$52))</f>
        <v>147.83000000000001</v>
      </c>
      <c r="AF64" s="652"/>
      <c r="AG64" s="652"/>
      <c r="AH64" s="652"/>
      <c r="AJ64"/>
      <c r="AM64"/>
    </row>
    <row r="65" spans="5:39" ht="13.5" customHeight="1" x14ac:dyDescent="0.2">
      <c r="E65" s="142"/>
      <c r="F65" s="142"/>
      <c r="G65" s="143"/>
      <c r="AE65" s="7"/>
      <c r="AF65" s="7"/>
      <c r="AG65" s="7"/>
      <c r="AH65" s="7"/>
      <c r="AJ65"/>
      <c r="AM65"/>
    </row>
    <row r="66" spans="5:39" ht="13.5" customHeight="1" x14ac:dyDescent="0.2">
      <c r="E66" s="142"/>
      <c r="F66" s="142"/>
      <c r="G66" s="143"/>
      <c r="H66" s="678" t="s">
        <v>106</v>
      </c>
      <c r="I66" s="679"/>
      <c r="J66" s="679"/>
      <c r="K66" s="679"/>
      <c r="L66" s="679"/>
      <c r="M66" s="680"/>
      <c r="N66" s="624">
        <f>N57</f>
        <v>53119</v>
      </c>
      <c r="O66" s="624"/>
      <c r="P66" s="624"/>
      <c r="Q66" s="624">
        <f>Q57</f>
        <v>60659</v>
      </c>
      <c r="R66" s="624"/>
      <c r="S66" s="624"/>
      <c r="T66" s="624">
        <f>T57</f>
        <v>68199</v>
      </c>
      <c r="U66" s="624"/>
      <c r="V66" s="624"/>
      <c r="W66" s="625" t="s">
        <v>109</v>
      </c>
      <c r="X66" s="653">
        <f>X57</f>
        <v>7540</v>
      </c>
      <c r="Y66" s="654"/>
      <c r="Z66" s="639">
        <f>$T$66+$X$66</f>
        <v>75739</v>
      </c>
      <c r="AA66" s="622" t="s">
        <v>107</v>
      </c>
      <c r="AB66" s="623"/>
      <c r="AC66" s="623"/>
      <c r="AD66" s="623"/>
      <c r="AE66" s="646">
        <v>203.62</v>
      </c>
      <c r="AF66" s="646"/>
      <c r="AG66" s="646"/>
      <c r="AH66" s="646"/>
      <c r="AJ66"/>
      <c r="AM66"/>
    </row>
    <row r="67" spans="5:39" ht="13.5" customHeight="1" x14ac:dyDescent="0.2">
      <c r="G67" s="143"/>
      <c r="H67" s="681"/>
      <c r="I67" s="682"/>
      <c r="J67" s="682"/>
      <c r="K67" s="682"/>
      <c r="L67" s="682"/>
      <c r="M67" s="683"/>
      <c r="N67" s="624"/>
      <c r="O67" s="624"/>
      <c r="P67" s="624"/>
      <c r="Q67" s="624"/>
      <c r="R67" s="624"/>
      <c r="S67" s="624"/>
      <c r="T67" s="624"/>
      <c r="U67" s="624"/>
      <c r="V67" s="624"/>
      <c r="W67" s="626"/>
      <c r="X67" s="655"/>
      <c r="Y67" s="656"/>
      <c r="Z67" s="640"/>
      <c r="AA67" s="637" t="s">
        <v>108</v>
      </c>
      <c r="AB67" s="637"/>
      <c r="AC67" s="637"/>
      <c r="AD67" s="637"/>
      <c r="AE67" s="646">
        <v>101.81</v>
      </c>
      <c r="AF67" s="646"/>
      <c r="AG67" s="646"/>
      <c r="AH67" s="646"/>
      <c r="AJ67"/>
      <c r="AM67"/>
    </row>
    <row r="68" spans="5:39" ht="13.5" customHeight="1" x14ac:dyDescent="0.2">
      <c r="G68" s="144">
        <v>1</v>
      </c>
      <c r="H68" s="725" t="s">
        <v>125</v>
      </c>
      <c r="I68" s="726"/>
      <c r="J68" s="726"/>
      <c r="K68" s="726"/>
      <c r="L68" s="726"/>
      <c r="M68" s="120"/>
      <c r="N68" s="647">
        <f>IF($G$36=1,$N$66,$N$91)</f>
        <v>47405</v>
      </c>
      <c r="O68" s="648"/>
      <c r="P68" s="649"/>
      <c r="Q68" s="647">
        <f>IF($G$36=1,$Q$66,$Q$91)</f>
        <v>54579</v>
      </c>
      <c r="R68" s="648"/>
      <c r="S68" s="649"/>
      <c r="T68" s="647">
        <f>IF($G$36=1,$T$66,$T$91)</f>
        <v>63188</v>
      </c>
      <c r="U68" s="648"/>
      <c r="V68" s="649"/>
      <c r="W68" s="121"/>
      <c r="X68" s="122"/>
      <c r="Y68" s="122"/>
      <c r="Z68" s="123">
        <f>IF($G$36=1,$Z$66,$Z$91)</f>
        <v>71797</v>
      </c>
      <c r="AJ68"/>
      <c r="AM68"/>
    </row>
    <row r="69" spans="5:39" ht="13.5" customHeight="1" x14ac:dyDescent="0.2">
      <c r="G69" s="144">
        <v>2</v>
      </c>
      <c r="AA69" s="622" t="s">
        <v>107</v>
      </c>
      <c r="AB69" s="623"/>
      <c r="AC69" s="623"/>
      <c r="AD69" s="623"/>
      <c r="AE69" s="657">
        <f>IF($G$36=1,$AE$66,$AE$91)</f>
        <v>177.35</v>
      </c>
      <c r="AF69" s="657"/>
      <c r="AG69" s="657"/>
      <c r="AH69" s="657"/>
      <c r="AJ69"/>
      <c r="AM69"/>
    </row>
    <row r="70" spans="5:39" ht="13.5" customHeight="1" x14ac:dyDescent="0.2">
      <c r="G70" s="144">
        <v>3</v>
      </c>
      <c r="AA70" s="637" t="s">
        <v>108</v>
      </c>
      <c r="AB70" s="637"/>
      <c r="AC70" s="637"/>
      <c r="AD70" s="637"/>
      <c r="AE70" s="657">
        <f>IF($G$36=1,$AE$67,$AE$92)</f>
        <v>88.68</v>
      </c>
      <c r="AF70" s="657"/>
      <c r="AG70" s="657"/>
      <c r="AH70" s="657"/>
      <c r="AJ70"/>
      <c r="AM70"/>
    </row>
    <row r="71" spans="5:39" ht="13.5" customHeight="1" x14ac:dyDescent="0.2">
      <c r="F71" s="151" t="s">
        <v>126</v>
      </c>
      <c r="G71" s="143"/>
      <c r="H71" s="619" t="s">
        <v>110</v>
      </c>
      <c r="I71" s="620"/>
      <c r="J71" s="620"/>
      <c r="K71" s="620"/>
      <c r="L71" s="620"/>
      <c r="M71" s="621"/>
      <c r="N71" s="638">
        <f>IF($Z$34=FALSE,$N$68,(($N$68*40/100)+$N$68))</f>
        <v>47405</v>
      </c>
      <c r="O71" s="638"/>
      <c r="P71" s="638"/>
      <c r="Q71" s="638">
        <f>IF($Z$34=FALSE,$Q$68,(($Q$68*40/100)+$Q$68))</f>
        <v>54579</v>
      </c>
      <c r="R71" s="638"/>
      <c r="S71" s="638"/>
      <c r="T71" s="638">
        <f>IF($Z$34=FALSE,$T$68,(($T$68*40/100)+$T$68))</f>
        <v>63188</v>
      </c>
      <c r="U71" s="638"/>
      <c r="V71" s="638"/>
      <c r="W71" s="136"/>
      <c r="X71" s="137"/>
      <c r="Y71" s="137"/>
      <c r="Z71" s="132">
        <f>IF($Z$34=FALSE,$Z$68,($Z$68*40/100)+$Z$68)</f>
        <v>71797</v>
      </c>
      <c r="AA71" s="650" t="s">
        <v>107</v>
      </c>
      <c r="AB71" s="651"/>
      <c r="AC71" s="651"/>
      <c r="AD71" s="651"/>
      <c r="AE71" s="652">
        <f>IF($Z$34=FALSE,$AE$69,(($AE$69*30/100)+$AE$69))</f>
        <v>177.35</v>
      </c>
      <c r="AF71" s="652"/>
      <c r="AG71" s="652"/>
      <c r="AH71" s="652"/>
      <c r="AJ71"/>
      <c r="AM71"/>
    </row>
    <row r="72" spans="5:39" ht="13.5" customHeight="1" x14ac:dyDescent="0.2">
      <c r="I72" s="81"/>
      <c r="J72" s="81"/>
      <c r="K72" s="81"/>
      <c r="L72" s="81"/>
      <c r="M72" s="81"/>
      <c r="N72" s="81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637" t="s">
        <v>108</v>
      </c>
      <c r="AB72" s="637"/>
      <c r="AC72" s="637"/>
      <c r="AD72" s="637"/>
      <c r="AE72" s="652">
        <f>IF($Z$34=FALSE,$AE$70,(($AE$70*30/100)+$AE$70))</f>
        <v>88.68</v>
      </c>
      <c r="AF72" s="652"/>
      <c r="AG72" s="652"/>
      <c r="AH72" s="652"/>
      <c r="AJ72"/>
      <c r="AM72" s="83"/>
    </row>
    <row r="73" spans="5:39" ht="13.5" customHeight="1" x14ac:dyDescent="0.2">
      <c r="H73" s="112" t="s">
        <v>148</v>
      </c>
      <c r="I73" s="81"/>
      <c r="J73" s="81"/>
      <c r="K73" s="81"/>
      <c r="L73" s="81"/>
      <c r="M73" s="81"/>
      <c r="N73" s="81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148" t="s">
        <v>124</v>
      </c>
      <c r="AJ73"/>
      <c r="AM73" s="83"/>
    </row>
    <row r="74" spans="5:39" ht="13.5" customHeight="1" x14ac:dyDescent="0.2">
      <c r="G74" s="111"/>
      <c r="I74" s="113"/>
      <c r="J74" s="113"/>
      <c r="K74" s="113"/>
      <c r="L74" s="113"/>
      <c r="M74" s="113"/>
      <c r="N74" s="113"/>
      <c r="O74" s="114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J74"/>
      <c r="AM74" s="83"/>
    </row>
    <row r="75" spans="5:39" ht="13.5" customHeight="1" x14ac:dyDescent="0.2">
      <c r="H75" s="607" t="s">
        <v>104</v>
      </c>
      <c r="I75" s="608"/>
      <c r="J75" s="608"/>
      <c r="K75" s="608"/>
      <c r="L75" s="608"/>
      <c r="M75" s="609"/>
      <c r="N75" s="606">
        <v>21332</v>
      </c>
      <c r="O75" s="606"/>
      <c r="P75" s="606"/>
      <c r="Q75" s="606">
        <v>24561</v>
      </c>
      <c r="R75" s="606"/>
      <c r="S75" s="606"/>
      <c r="T75" s="727">
        <v>28435</v>
      </c>
      <c r="U75" s="728"/>
      <c r="V75" s="729"/>
      <c r="W75" s="625" t="s">
        <v>109</v>
      </c>
      <c r="X75" s="631">
        <v>3874</v>
      </c>
      <c r="Y75" s="632"/>
      <c r="Z75" s="639">
        <f>$T$75+$X$75</f>
        <v>32309</v>
      </c>
      <c r="AA75" s="622" t="s">
        <v>107</v>
      </c>
      <c r="AB75" s="623"/>
      <c r="AC75" s="623"/>
      <c r="AD75" s="623"/>
      <c r="AE75" s="646">
        <v>468.82</v>
      </c>
      <c r="AF75" s="646"/>
      <c r="AG75" s="646"/>
      <c r="AH75" s="646"/>
      <c r="AJ75"/>
      <c r="AM75" s="106"/>
    </row>
    <row r="76" spans="5:39" ht="13.5" customHeight="1" x14ac:dyDescent="0.2">
      <c r="H76" s="610"/>
      <c r="I76" s="611"/>
      <c r="J76" s="611"/>
      <c r="K76" s="611"/>
      <c r="L76" s="611"/>
      <c r="M76" s="612"/>
      <c r="N76" s="606"/>
      <c r="O76" s="606"/>
      <c r="P76" s="606"/>
      <c r="Q76" s="606"/>
      <c r="R76" s="606"/>
      <c r="S76" s="606"/>
      <c r="T76" s="730"/>
      <c r="U76" s="731"/>
      <c r="V76" s="732"/>
      <c r="W76" s="626"/>
      <c r="X76" s="633"/>
      <c r="Y76" s="634"/>
      <c r="Z76" s="640"/>
      <c r="AA76" s="637" t="s">
        <v>108</v>
      </c>
      <c r="AB76" s="637"/>
      <c r="AC76" s="637"/>
      <c r="AD76" s="637"/>
      <c r="AE76" s="646">
        <v>234.41</v>
      </c>
      <c r="AF76" s="646"/>
      <c r="AG76" s="646"/>
      <c r="AH76" s="646"/>
      <c r="AJ76"/>
      <c r="AM76" s="106"/>
    </row>
    <row r="77" spans="5:39" ht="13.5" customHeight="1" x14ac:dyDescent="0.2">
      <c r="H77" s="619" t="s">
        <v>110</v>
      </c>
      <c r="I77" s="620"/>
      <c r="J77" s="620"/>
      <c r="K77" s="620"/>
      <c r="L77" s="620"/>
      <c r="M77" s="621"/>
      <c r="N77" s="638">
        <f>IF($Z$34=FALSE,N75,((N75*40/100)+N75))</f>
        <v>21332</v>
      </c>
      <c r="O77" s="638"/>
      <c r="P77" s="638"/>
      <c r="Q77" s="638">
        <f>IF($Z$34=FALSE,Q75,((Q75*40/100)+Q75))</f>
        <v>24561</v>
      </c>
      <c r="R77" s="638"/>
      <c r="S77" s="638"/>
      <c r="T77" s="638">
        <f>IF($Z$34=FALSE,T75,((T75*40/100)+T75))</f>
        <v>28435</v>
      </c>
      <c r="U77" s="638"/>
      <c r="V77" s="638"/>
      <c r="W77" s="130"/>
      <c r="X77" s="131"/>
      <c r="Y77" s="131"/>
      <c r="Z77" s="132">
        <f>IF($Z$34=FALSE,Z75,(Z75*40/100)+Z75)</f>
        <v>32309</v>
      </c>
      <c r="AA77" s="719" t="s">
        <v>107</v>
      </c>
      <c r="AB77" s="720"/>
      <c r="AC77" s="720"/>
      <c r="AD77" s="721"/>
      <c r="AE77" s="722">
        <f>IF($Z$34=FALSE,AE75,((AE75*30/100)+AE75))</f>
        <v>468.82</v>
      </c>
      <c r="AF77" s="723"/>
      <c r="AG77" s="723"/>
      <c r="AH77" s="724"/>
      <c r="AJ77"/>
      <c r="AM77" s="107"/>
    </row>
    <row r="78" spans="5:39" ht="13.5" customHeight="1" x14ac:dyDescent="0.2">
      <c r="AA78" s="637" t="s">
        <v>108</v>
      </c>
      <c r="AB78" s="637"/>
      <c r="AC78" s="637"/>
      <c r="AD78" s="637"/>
      <c r="AE78" s="652">
        <f>IF($Z$34=FALSE,AE76,((AE76*30/100)+AE76))</f>
        <v>234.41</v>
      </c>
      <c r="AF78" s="652"/>
      <c r="AG78" s="652"/>
      <c r="AH78" s="652"/>
      <c r="AJ78"/>
      <c r="AM78" s="107"/>
    </row>
    <row r="79" spans="5:39" ht="13.5" customHeight="1" x14ac:dyDescent="0.2">
      <c r="AJ79"/>
      <c r="AM79" s="107"/>
    </row>
    <row r="80" spans="5:39" ht="13.5" customHeight="1" x14ac:dyDescent="0.2">
      <c r="AJ80"/>
      <c r="AM80" s="107"/>
    </row>
    <row r="81" spans="8:39" ht="13.5" customHeight="1" x14ac:dyDescent="0.2">
      <c r="H81" s="613" t="s">
        <v>105</v>
      </c>
      <c r="I81" s="614"/>
      <c r="J81" s="614"/>
      <c r="K81" s="614"/>
      <c r="L81" s="614"/>
      <c r="M81" s="615"/>
      <c r="N81" s="684">
        <v>47405</v>
      </c>
      <c r="O81" s="685"/>
      <c r="P81" s="686"/>
      <c r="Q81" s="624">
        <v>54579</v>
      </c>
      <c r="R81" s="624"/>
      <c r="S81" s="624"/>
      <c r="T81" s="606">
        <v>63188</v>
      </c>
      <c r="U81" s="606"/>
      <c r="V81" s="606"/>
      <c r="W81" s="625" t="s">
        <v>109</v>
      </c>
      <c r="X81" s="631">
        <v>8609</v>
      </c>
      <c r="Y81" s="632"/>
      <c r="Z81" s="639">
        <f>$T$81+$X$81</f>
        <v>71797</v>
      </c>
      <c r="AA81" s="622" t="s">
        <v>107</v>
      </c>
      <c r="AB81" s="623"/>
      <c r="AC81" s="623"/>
      <c r="AD81" s="623"/>
      <c r="AE81" s="646">
        <v>295.62</v>
      </c>
      <c r="AF81" s="646"/>
      <c r="AG81" s="646"/>
      <c r="AH81" s="646"/>
      <c r="AJ81"/>
      <c r="AM81" s="106"/>
    </row>
    <row r="82" spans="8:39" ht="13.5" customHeight="1" x14ac:dyDescent="0.2">
      <c r="H82" s="616"/>
      <c r="I82" s="617"/>
      <c r="J82" s="617"/>
      <c r="K82" s="617"/>
      <c r="L82" s="617"/>
      <c r="M82" s="618"/>
      <c r="N82" s="687"/>
      <c r="O82" s="688"/>
      <c r="P82" s="689"/>
      <c r="Q82" s="624"/>
      <c r="R82" s="624"/>
      <c r="S82" s="624"/>
      <c r="T82" s="606"/>
      <c r="U82" s="606"/>
      <c r="V82" s="606"/>
      <c r="W82" s="626"/>
      <c r="X82" s="633"/>
      <c r="Y82" s="634"/>
      <c r="Z82" s="640"/>
      <c r="AA82" s="637" t="s">
        <v>108</v>
      </c>
      <c r="AB82" s="637"/>
      <c r="AC82" s="637"/>
      <c r="AD82" s="637"/>
      <c r="AE82" s="646">
        <v>147.83000000000001</v>
      </c>
      <c r="AF82" s="646"/>
      <c r="AG82" s="646"/>
      <c r="AH82" s="646"/>
      <c r="AJ82"/>
      <c r="AM82" s="106"/>
    </row>
    <row r="83" spans="8:39" ht="13.5" customHeight="1" x14ac:dyDescent="0.2">
      <c r="H83" s="619" t="s">
        <v>110</v>
      </c>
      <c r="I83" s="620"/>
      <c r="J83" s="620"/>
      <c r="K83" s="620"/>
      <c r="L83" s="620"/>
      <c r="M83" s="621"/>
      <c r="N83" s="638">
        <f>IF($Z$34=FALSE,N81,((N81*40/100)+N81))</f>
        <v>47405</v>
      </c>
      <c r="O83" s="638"/>
      <c r="P83" s="638"/>
      <c r="Q83" s="638">
        <f>IF($Z$34=FALSE,Q81,((Q81*40/100)+Q81))</f>
        <v>54579</v>
      </c>
      <c r="R83" s="638"/>
      <c r="S83" s="638"/>
      <c r="T83" s="638">
        <f>IF($Z$34=FALSE,T81,((T81*40/100)+T81))</f>
        <v>63188</v>
      </c>
      <c r="U83" s="638"/>
      <c r="V83" s="638"/>
      <c r="W83" s="133"/>
      <c r="X83" s="141"/>
      <c r="Y83" s="141"/>
      <c r="Z83" s="132">
        <f>IF($Z$34=FALSE,Z81,(Z81*40/100)+Z81)</f>
        <v>71797</v>
      </c>
      <c r="AA83" s="622" t="s">
        <v>107</v>
      </c>
      <c r="AB83" s="623"/>
      <c r="AC83" s="623"/>
      <c r="AD83" s="623"/>
      <c r="AE83" s="652">
        <f>IF($Z$34=FALSE,AE81,((AE81*40/100)+AE81))</f>
        <v>295.62</v>
      </c>
      <c r="AF83" s="652"/>
      <c r="AG83" s="652"/>
      <c r="AH83" s="652"/>
      <c r="AJ83"/>
      <c r="AM83" s="106"/>
    </row>
    <row r="84" spans="8:39" ht="13.5" customHeight="1" x14ac:dyDescent="0.2">
      <c r="O84" s="118"/>
      <c r="P84" s="118"/>
      <c r="Q84" s="118"/>
      <c r="R84" s="118"/>
      <c r="S84" s="118"/>
      <c r="T84" s="117"/>
      <c r="U84" s="117"/>
      <c r="V84" s="117"/>
      <c r="W84" s="115"/>
      <c r="X84" s="116"/>
      <c r="Y84" s="116"/>
      <c r="Z84" s="117"/>
      <c r="AA84" s="637" t="s">
        <v>108</v>
      </c>
      <c r="AB84" s="637"/>
      <c r="AC84" s="637"/>
      <c r="AD84" s="637"/>
      <c r="AE84" s="652">
        <f>IF($Z$34=FALSE,AE82,((AE82*40/100)+AE82))</f>
        <v>147.83000000000001</v>
      </c>
      <c r="AF84" s="652"/>
      <c r="AG84" s="652"/>
      <c r="AH84" s="652"/>
      <c r="AJ84"/>
      <c r="AM84" s="106"/>
    </row>
    <row r="85" spans="8:39" ht="13.5" customHeight="1" x14ac:dyDescent="0.2">
      <c r="AF85" s="119"/>
      <c r="AG85" s="119"/>
      <c r="AH85" s="119"/>
      <c r="AJ85"/>
      <c r="AM85" s="106"/>
    </row>
    <row r="86" spans="8:39" ht="13.5" customHeight="1" x14ac:dyDescent="0.2">
      <c r="H86" s="613" t="s">
        <v>105</v>
      </c>
      <c r="I86" s="614"/>
      <c r="J86" s="614"/>
      <c r="K86" s="614"/>
      <c r="L86" s="614"/>
      <c r="M86" s="615"/>
      <c r="N86" s="658">
        <v>47405</v>
      </c>
      <c r="O86" s="658"/>
      <c r="P86" s="658"/>
      <c r="Q86" s="718">
        <v>54579</v>
      </c>
      <c r="R86" s="718"/>
      <c r="S86" s="718"/>
      <c r="T86" s="718">
        <v>63188</v>
      </c>
      <c r="U86" s="718"/>
      <c r="V86" s="718"/>
      <c r="W86" s="669" t="s">
        <v>109</v>
      </c>
      <c r="X86" s="641">
        <f>X81</f>
        <v>8609</v>
      </c>
      <c r="Y86" s="642"/>
      <c r="Z86" s="635">
        <f>T86+X86</f>
        <v>71797</v>
      </c>
      <c r="AA86" s="622" t="s">
        <v>107</v>
      </c>
      <c r="AB86" s="623"/>
      <c r="AC86" s="623"/>
      <c r="AD86" s="623"/>
      <c r="AE86" s="645">
        <f>AE81</f>
        <v>295.62</v>
      </c>
      <c r="AF86" s="645"/>
      <c r="AG86" s="645"/>
      <c r="AH86" s="645"/>
      <c r="AJ86"/>
      <c r="AM86" s="107"/>
    </row>
    <row r="87" spans="8:39" ht="13.5" customHeight="1" x14ac:dyDescent="0.2">
      <c r="H87" s="616"/>
      <c r="I87" s="617"/>
      <c r="J87" s="617"/>
      <c r="K87" s="617"/>
      <c r="L87" s="617"/>
      <c r="M87" s="618"/>
      <c r="N87" s="658"/>
      <c r="O87" s="658"/>
      <c r="P87" s="658"/>
      <c r="Q87" s="718"/>
      <c r="R87" s="718"/>
      <c r="S87" s="718"/>
      <c r="T87" s="718"/>
      <c r="U87" s="718"/>
      <c r="V87" s="718"/>
      <c r="W87" s="670"/>
      <c r="X87" s="643"/>
      <c r="Y87" s="644"/>
      <c r="Z87" s="636"/>
      <c r="AA87" s="637" t="s">
        <v>108</v>
      </c>
      <c r="AB87" s="637"/>
      <c r="AC87" s="637"/>
      <c r="AD87" s="637"/>
      <c r="AE87" s="645">
        <f>AE82</f>
        <v>147.83000000000001</v>
      </c>
      <c r="AF87" s="645"/>
      <c r="AG87" s="645"/>
      <c r="AH87" s="645"/>
      <c r="AJ87"/>
      <c r="AM87" s="107"/>
    </row>
    <row r="88" spans="8:39" ht="13.5" customHeight="1" x14ac:dyDescent="0.2">
      <c r="H88" s="619" t="s">
        <v>110</v>
      </c>
      <c r="I88" s="620"/>
      <c r="J88" s="620"/>
      <c r="K88" s="620"/>
      <c r="L88" s="620"/>
      <c r="M88" s="621"/>
      <c r="N88" s="638">
        <f>IF($Z$34=FALSE,N86,((N86*40/100)+N86))</f>
        <v>47405</v>
      </c>
      <c r="O88" s="638"/>
      <c r="P88" s="638"/>
      <c r="Q88" s="638">
        <f>IF($Z$34=FALSE,Q86,((Q86*40/100)+Q86))</f>
        <v>54579</v>
      </c>
      <c r="R88" s="638"/>
      <c r="S88" s="638"/>
      <c r="T88" s="638">
        <f>IF($Z$34=FALSE,T86,((T86*40/100)+T86))</f>
        <v>63188</v>
      </c>
      <c r="U88" s="638"/>
      <c r="V88" s="638"/>
      <c r="W88" s="130"/>
      <c r="X88" s="138"/>
      <c r="Y88" s="138"/>
      <c r="Z88" s="132">
        <f>IF($Z$34=FALSE,Z86,(Z86*40/100)+Z86)</f>
        <v>71797</v>
      </c>
      <c r="AA88" s="622" t="s">
        <v>107</v>
      </c>
      <c r="AB88" s="623"/>
      <c r="AC88" s="623"/>
      <c r="AD88" s="623"/>
      <c r="AE88" s="652">
        <f>IF($Z$34=FALSE,AE86,((AE86*40/100)+AE86))</f>
        <v>295.62</v>
      </c>
      <c r="AF88" s="652"/>
      <c r="AG88" s="652"/>
      <c r="AH88" s="652"/>
      <c r="AJ88"/>
      <c r="AM88" s="107"/>
    </row>
    <row r="89" spans="8:39" ht="13.5" customHeight="1" x14ac:dyDescent="0.2">
      <c r="AA89" s="637" t="s">
        <v>108</v>
      </c>
      <c r="AB89" s="637"/>
      <c r="AC89" s="637"/>
      <c r="AD89" s="637"/>
      <c r="AE89" s="652">
        <f>IF($Z$34=FALSE,AE87,((AE87*40/100)+AE87))</f>
        <v>147.83000000000001</v>
      </c>
      <c r="AF89" s="652"/>
      <c r="AG89" s="652"/>
      <c r="AH89" s="652"/>
      <c r="AJ89"/>
      <c r="AM89" s="107"/>
    </row>
    <row r="90" spans="8:39" ht="13.5" customHeight="1" x14ac:dyDescent="0.2">
      <c r="AA90" s="109"/>
      <c r="AB90" s="109"/>
      <c r="AC90" s="109"/>
      <c r="AD90" s="109"/>
      <c r="AE90" s="109"/>
      <c r="AF90" s="109"/>
      <c r="AG90" s="109"/>
      <c r="AH90" s="110"/>
      <c r="AJ90"/>
      <c r="AM90" s="107"/>
    </row>
    <row r="91" spans="8:39" ht="13.5" customHeight="1" x14ac:dyDescent="0.2">
      <c r="H91" s="607" t="s">
        <v>106</v>
      </c>
      <c r="I91" s="608"/>
      <c r="J91" s="608"/>
      <c r="K91" s="608"/>
      <c r="L91" s="608"/>
      <c r="M91" s="609"/>
      <c r="N91" s="624">
        <v>47405</v>
      </c>
      <c r="O91" s="624"/>
      <c r="P91" s="624"/>
      <c r="Q91" s="606">
        <v>54579</v>
      </c>
      <c r="R91" s="606"/>
      <c r="S91" s="606"/>
      <c r="T91" s="606">
        <v>63188</v>
      </c>
      <c r="U91" s="606"/>
      <c r="V91" s="606"/>
      <c r="W91" s="625" t="s">
        <v>109</v>
      </c>
      <c r="X91" s="627">
        <f>$X$81</f>
        <v>8609</v>
      </c>
      <c r="Y91" s="628"/>
      <c r="Z91" s="639">
        <f>T91+X91</f>
        <v>71797</v>
      </c>
      <c r="AA91" s="622" t="s">
        <v>107</v>
      </c>
      <c r="AB91" s="623"/>
      <c r="AC91" s="623"/>
      <c r="AD91" s="623"/>
      <c r="AE91" s="646">
        <v>177.35</v>
      </c>
      <c r="AF91" s="646"/>
      <c r="AG91" s="646"/>
      <c r="AH91" s="646"/>
      <c r="AJ91"/>
      <c r="AM91" s="106"/>
    </row>
    <row r="92" spans="8:39" ht="13.5" customHeight="1" x14ac:dyDescent="0.2">
      <c r="H92" s="610"/>
      <c r="I92" s="611"/>
      <c r="J92" s="611"/>
      <c r="K92" s="611"/>
      <c r="L92" s="611"/>
      <c r="M92" s="612"/>
      <c r="N92" s="624"/>
      <c r="O92" s="624"/>
      <c r="P92" s="624"/>
      <c r="Q92" s="606"/>
      <c r="R92" s="606"/>
      <c r="S92" s="606"/>
      <c r="T92" s="606"/>
      <c r="U92" s="606"/>
      <c r="V92" s="606"/>
      <c r="W92" s="626"/>
      <c r="X92" s="629"/>
      <c r="Y92" s="630"/>
      <c r="Z92" s="640"/>
      <c r="AA92" s="637" t="s">
        <v>108</v>
      </c>
      <c r="AB92" s="637"/>
      <c r="AC92" s="637"/>
      <c r="AD92" s="637"/>
      <c r="AE92" s="646">
        <v>88.68</v>
      </c>
      <c r="AF92" s="646"/>
      <c r="AG92" s="646"/>
      <c r="AH92" s="646"/>
      <c r="AJ92"/>
      <c r="AM92" s="106"/>
    </row>
    <row r="93" spans="8:39" ht="13.5" customHeight="1" x14ac:dyDescent="0.2">
      <c r="H93" s="619" t="s">
        <v>110</v>
      </c>
      <c r="I93" s="620"/>
      <c r="J93" s="620"/>
      <c r="K93" s="620"/>
      <c r="L93" s="620"/>
      <c r="M93" s="621"/>
      <c r="N93" s="638">
        <f>IF($Z$34=FALSE,N91,((N91*40/100)+N91))</f>
        <v>47405</v>
      </c>
      <c r="O93" s="638"/>
      <c r="P93" s="638"/>
      <c r="Q93" s="638">
        <f>IF($Z$34=FALSE,Q91,((Q91*40/100)+Q91))</f>
        <v>54579</v>
      </c>
      <c r="R93" s="638"/>
      <c r="S93" s="638"/>
      <c r="T93" s="638">
        <f>IF($Z$34=FALSE,T91,((T91*40/100)+T91))</f>
        <v>63188</v>
      </c>
      <c r="U93" s="638"/>
      <c r="V93" s="638"/>
      <c r="W93" s="139"/>
      <c r="X93" s="140"/>
      <c r="Y93" s="140"/>
      <c r="Z93" s="132">
        <f>IF($Z$34=FALSE,Z91,(Z91*40/100)+Z91)</f>
        <v>71797</v>
      </c>
      <c r="AA93" s="622" t="s">
        <v>107</v>
      </c>
      <c r="AB93" s="623"/>
      <c r="AC93" s="623"/>
      <c r="AD93" s="623"/>
      <c r="AE93" s="652">
        <f>IF($Z$34=FALSE,AE91,((AE91*40/100)+AE91))</f>
        <v>177.35</v>
      </c>
      <c r="AF93" s="652"/>
      <c r="AG93" s="652"/>
      <c r="AH93" s="652"/>
      <c r="AJ93"/>
    </row>
    <row r="94" spans="8:39" ht="13.5" customHeight="1" x14ac:dyDescent="0.2">
      <c r="AA94" s="637" t="s">
        <v>108</v>
      </c>
      <c r="AB94" s="637"/>
      <c r="AC94" s="637"/>
      <c r="AD94" s="637"/>
      <c r="AE94" s="652">
        <f>IF($Z$34=FALSE,AE92,((AE92*40/100)+AE92))</f>
        <v>88.68</v>
      </c>
      <c r="AF94" s="652"/>
      <c r="AG94" s="652"/>
      <c r="AH94" s="652"/>
      <c r="AJ94"/>
    </row>
    <row r="95" spans="8:39" ht="13.5" customHeight="1" x14ac:dyDescent="0.2">
      <c r="AJ95"/>
    </row>
    <row r="96" spans="8:39" ht="13.5" customHeight="1" x14ac:dyDescent="0.2">
      <c r="AJ96"/>
      <c r="AM96"/>
    </row>
    <row r="97" spans="36:39" ht="13.5" customHeight="1" x14ac:dyDescent="0.2">
      <c r="AJ97"/>
      <c r="AM97"/>
    </row>
    <row r="98" spans="36:39" ht="13.5" customHeight="1" x14ac:dyDescent="0.2">
      <c r="AJ98"/>
      <c r="AM98"/>
    </row>
    <row r="99" spans="36:39" ht="13.5" customHeight="1" x14ac:dyDescent="0.2">
      <c r="AJ99"/>
      <c r="AM99"/>
    </row>
    <row r="100" spans="36:39" ht="13.5" customHeight="1" x14ac:dyDescent="0.2">
      <c r="AJ100"/>
      <c r="AM100"/>
    </row>
    <row r="101" spans="36:39" ht="13.5" customHeight="1" x14ac:dyDescent="0.2">
      <c r="AJ101"/>
      <c r="AM101"/>
    </row>
    <row r="102" spans="36:39" ht="13.5" customHeight="1" x14ac:dyDescent="0.2">
      <c r="AJ102"/>
      <c r="AM102"/>
    </row>
    <row r="103" spans="36:39" ht="13.5" customHeight="1" x14ac:dyDescent="0.2">
      <c r="AJ103"/>
      <c r="AM103"/>
    </row>
    <row r="104" spans="36:39" ht="13.5" customHeight="1" x14ac:dyDescent="0.2">
      <c r="AJ104"/>
      <c r="AM104"/>
    </row>
    <row r="105" spans="36:39" ht="13.5" customHeight="1" x14ac:dyDescent="0.2">
      <c r="AJ105"/>
      <c r="AM105"/>
    </row>
    <row r="106" spans="36:39" ht="13.5" customHeight="1" x14ac:dyDescent="0.2">
      <c r="AJ106"/>
      <c r="AM106"/>
    </row>
    <row r="107" spans="36:39" ht="13.5" customHeight="1" x14ac:dyDescent="0.2">
      <c r="AJ107"/>
      <c r="AM107"/>
    </row>
    <row r="108" spans="36:39" ht="13.5" customHeight="1" x14ac:dyDescent="0.2">
      <c r="AJ108"/>
      <c r="AM108"/>
    </row>
    <row r="109" spans="36:39" ht="13.5" customHeight="1" x14ac:dyDescent="0.2">
      <c r="AJ109"/>
      <c r="AM109"/>
    </row>
    <row r="110" spans="36:39" ht="13.5" customHeight="1" x14ac:dyDescent="0.2">
      <c r="AJ110"/>
      <c r="AM110"/>
    </row>
    <row r="111" spans="36:39" ht="13.5" customHeight="1" x14ac:dyDescent="0.2">
      <c r="AJ111"/>
      <c r="AM111"/>
    </row>
    <row r="112" spans="36:39" ht="13.5" customHeight="1" x14ac:dyDescent="0.2">
      <c r="AJ112"/>
      <c r="AM112"/>
    </row>
    <row r="113" spans="36:39" ht="13.5" customHeight="1" x14ac:dyDescent="0.2">
      <c r="AJ113"/>
      <c r="AM113"/>
    </row>
    <row r="114" spans="36:39" ht="13.5" customHeight="1" x14ac:dyDescent="0.2">
      <c r="AJ114"/>
      <c r="AM114"/>
    </row>
    <row r="115" spans="36:39" ht="13.5" customHeight="1" x14ac:dyDescent="0.2">
      <c r="AJ115"/>
      <c r="AM115"/>
    </row>
    <row r="116" spans="36:39" ht="13.5" customHeight="1" x14ac:dyDescent="0.2">
      <c r="AJ116"/>
      <c r="AM116"/>
    </row>
    <row r="117" spans="36:39" ht="13.5" customHeight="1" x14ac:dyDescent="0.2">
      <c r="AJ117"/>
      <c r="AM117"/>
    </row>
    <row r="118" spans="36:39" ht="13.5" customHeight="1" x14ac:dyDescent="0.2">
      <c r="AJ118"/>
      <c r="AM118"/>
    </row>
    <row r="119" spans="36:39" x14ac:dyDescent="0.2">
      <c r="AJ119"/>
      <c r="AM119"/>
    </row>
  </sheetData>
  <sheetProtection selectLockedCells="1" selectUnlockedCells="1"/>
  <mergeCells count="213">
    <mergeCell ref="AE94:AH94"/>
    <mergeCell ref="H41:L41"/>
    <mergeCell ref="H50:L50"/>
    <mergeCell ref="H68:L68"/>
    <mergeCell ref="AE88:AH88"/>
    <mergeCell ref="AE89:AH89"/>
    <mergeCell ref="AE86:AH86"/>
    <mergeCell ref="AE60:AH60"/>
    <mergeCell ref="AE61:AH61"/>
    <mergeCell ref="AE42:AH42"/>
    <mergeCell ref="AA42:AD42"/>
    <mergeCell ref="AA43:AD43"/>
    <mergeCell ref="AE43:AH43"/>
    <mergeCell ref="AA51:AD51"/>
    <mergeCell ref="AE45:AH45"/>
    <mergeCell ref="AE46:AH46"/>
    <mergeCell ref="AE51:AH51"/>
    <mergeCell ref="AA61:AD61"/>
    <mergeCell ref="T77:V77"/>
    <mergeCell ref="T68:V68"/>
    <mergeCell ref="T75:V76"/>
    <mergeCell ref="AE63:AH63"/>
    <mergeCell ref="Z91:Z92"/>
    <mergeCell ref="AA66:AD66"/>
    <mergeCell ref="AE81:AH81"/>
    <mergeCell ref="AE82:AH82"/>
    <mergeCell ref="W86:W87"/>
    <mergeCell ref="AA76:AD76"/>
    <mergeCell ref="AE76:AH76"/>
    <mergeCell ref="W81:W82"/>
    <mergeCell ref="AA69:AD69"/>
    <mergeCell ref="AE69:AH69"/>
    <mergeCell ref="AA72:AD72"/>
    <mergeCell ref="AA70:AD70"/>
    <mergeCell ref="AE75:AH75"/>
    <mergeCell ref="AA71:AD71"/>
    <mergeCell ref="AE72:AH72"/>
    <mergeCell ref="H71:M71"/>
    <mergeCell ref="Q77:S77"/>
    <mergeCell ref="N88:P88"/>
    <mergeCell ref="AE92:AH92"/>
    <mergeCell ref="AA94:AD94"/>
    <mergeCell ref="AA77:AD77"/>
    <mergeCell ref="AA82:AD82"/>
    <mergeCell ref="AA89:AD89"/>
    <mergeCell ref="AA92:AD92"/>
    <mergeCell ref="AA84:AD84"/>
    <mergeCell ref="AA86:AD86"/>
    <mergeCell ref="AA87:AD87"/>
    <mergeCell ref="AA88:AD88"/>
    <mergeCell ref="AA91:AD91"/>
    <mergeCell ref="AA93:AD93"/>
    <mergeCell ref="AE91:AH91"/>
    <mergeCell ref="AE78:AH78"/>
    <mergeCell ref="AE77:AH77"/>
    <mergeCell ref="X81:Y82"/>
    <mergeCell ref="AE87:AH87"/>
    <mergeCell ref="AE83:AH83"/>
    <mergeCell ref="AE84:AH84"/>
    <mergeCell ref="AE93:AH93"/>
    <mergeCell ref="T71:V71"/>
    <mergeCell ref="Z39:Z40"/>
    <mergeCell ref="W39:W40"/>
    <mergeCell ref="X39:Y40"/>
    <mergeCell ref="W66:W67"/>
    <mergeCell ref="H93:M93"/>
    <mergeCell ref="H83:M83"/>
    <mergeCell ref="N68:P68"/>
    <mergeCell ref="Q68:S68"/>
    <mergeCell ref="T93:V93"/>
    <mergeCell ref="N83:P83"/>
    <mergeCell ref="Q83:S83"/>
    <mergeCell ref="T83:V83"/>
    <mergeCell ref="N86:P87"/>
    <mergeCell ref="N71:P71"/>
    <mergeCell ref="Q88:S88"/>
    <mergeCell ref="H77:M77"/>
    <mergeCell ref="N93:P93"/>
    <mergeCell ref="Q93:S93"/>
    <mergeCell ref="H81:M82"/>
    <mergeCell ref="N81:P82"/>
    <mergeCell ref="Q81:S82"/>
    <mergeCell ref="H91:M92"/>
    <mergeCell ref="Q86:S87"/>
    <mergeCell ref="T86:V87"/>
    <mergeCell ref="H66:M67"/>
    <mergeCell ref="H63:M63"/>
    <mergeCell ref="Q33:S34"/>
    <mergeCell ref="Q50:S50"/>
    <mergeCell ref="N41:P41"/>
    <mergeCell ref="Q45:S45"/>
    <mergeCell ref="T45:V45"/>
    <mergeCell ref="N33:P34"/>
    <mergeCell ref="N63:P63"/>
    <mergeCell ref="T63:V63"/>
    <mergeCell ref="Q63:S63"/>
    <mergeCell ref="N66:P67"/>
    <mergeCell ref="N57:P58"/>
    <mergeCell ref="N59:P59"/>
    <mergeCell ref="B2:K2"/>
    <mergeCell ref="C3:C4"/>
    <mergeCell ref="E6:F6"/>
    <mergeCell ref="J6:K6"/>
    <mergeCell ref="B13:C13"/>
    <mergeCell ref="N13:P13"/>
    <mergeCell ref="Q13:T13"/>
    <mergeCell ref="Q14:T14"/>
    <mergeCell ref="T50:V50"/>
    <mergeCell ref="B14:C14"/>
    <mergeCell ref="B15:C15"/>
    <mergeCell ref="E17:E18"/>
    <mergeCell ref="J17:J18"/>
    <mergeCell ref="B27:K27"/>
    <mergeCell ref="N45:P45"/>
    <mergeCell ref="N14:P14"/>
    <mergeCell ref="Q21:R21"/>
    <mergeCell ref="R19:S19"/>
    <mergeCell ref="T19:U19"/>
    <mergeCell ref="N15:P17"/>
    <mergeCell ref="T41:V41"/>
    <mergeCell ref="B26:K26"/>
    <mergeCell ref="H33:M34"/>
    <mergeCell ref="B28:K28"/>
    <mergeCell ref="AE39:AH39"/>
    <mergeCell ref="AA40:AD40"/>
    <mergeCell ref="AE40:AH40"/>
    <mergeCell ref="B16:C16"/>
    <mergeCell ref="T54:V54"/>
    <mergeCell ref="AA46:AD46"/>
    <mergeCell ref="H39:M40"/>
    <mergeCell ref="N39:P40"/>
    <mergeCell ref="Q39:S40"/>
    <mergeCell ref="T39:V40"/>
    <mergeCell ref="H45:M45"/>
    <mergeCell ref="H48:M49"/>
    <mergeCell ref="N48:P49"/>
    <mergeCell ref="AA36:AB36"/>
    <mergeCell ref="AB33:AH34"/>
    <mergeCell ref="AE54:AH54"/>
    <mergeCell ref="R24:S24"/>
    <mergeCell ref="R25:S25"/>
    <mergeCell ref="Q41:S41"/>
    <mergeCell ref="T33:V34"/>
    <mergeCell ref="W33:Y34"/>
    <mergeCell ref="AA39:AD39"/>
    <mergeCell ref="H54:M54"/>
    <mergeCell ref="N54:P54"/>
    <mergeCell ref="AE55:AH55"/>
    <mergeCell ref="AA52:AD52"/>
    <mergeCell ref="AA45:AD45"/>
    <mergeCell ref="AA48:AD48"/>
    <mergeCell ref="AE49:AH49"/>
    <mergeCell ref="AA54:AD54"/>
    <mergeCell ref="AA55:AD55"/>
    <mergeCell ref="AE52:AH52"/>
    <mergeCell ref="H57:M58"/>
    <mergeCell ref="Q48:S49"/>
    <mergeCell ref="T48:V49"/>
    <mergeCell ref="Q54:S54"/>
    <mergeCell ref="X48:Y49"/>
    <mergeCell ref="N50:P50"/>
    <mergeCell ref="W57:W58"/>
    <mergeCell ref="Q57:S58"/>
    <mergeCell ref="X57:Y58"/>
    <mergeCell ref="W48:W49"/>
    <mergeCell ref="AE48:AH48"/>
    <mergeCell ref="AA49:AD49"/>
    <mergeCell ref="AA57:AD57"/>
    <mergeCell ref="AA58:AD58"/>
    <mergeCell ref="Z48:Z49"/>
    <mergeCell ref="AE57:AH57"/>
    <mergeCell ref="Z57:Z58"/>
    <mergeCell ref="AE58:AH58"/>
    <mergeCell ref="AE67:AH67"/>
    <mergeCell ref="T59:V59"/>
    <mergeCell ref="Q71:S71"/>
    <mergeCell ref="Q59:S59"/>
    <mergeCell ref="AA60:AD60"/>
    <mergeCell ref="AE66:AH66"/>
    <mergeCell ref="AA63:AD63"/>
    <mergeCell ref="AA64:AD64"/>
    <mergeCell ref="AE64:AH64"/>
    <mergeCell ref="X66:Y67"/>
    <mergeCell ref="AA67:AD67"/>
    <mergeCell ref="Z66:Z67"/>
    <mergeCell ref="AE70:AH70"/>
    <mergeCell ref="Q66:S67"/>
    <mergeCell ref="T66:V67"/>
    <mergeCell ref="T57:V58"/>
    <mergeCell ref="AE71:AH71"/>
    <mergeCell ref="Q91:S92"/>
    <mergeCell ref="T91:V92"/>
    <mergeCell ref="H75:M76"/>
    <mergeCell ref="H86:M87"/>
    <mergeCell ref="H88:M88"/>
    <mergeCell ref="AA81:AD81"/>
    <mergeCell ref="N91:P92"/>
    <mergeCell ref="T81:V82"/>
    <mergeCell ref="AA75:AD75"/>
    <mergeCell ref="W75:W76"/>
    <mergeCell ref="X91:Y92"/>
    <mergeCell ref="X75:Y76"/>
    <mergeCell ref="Z86:Z87"/>
    <mergeCell ref="W91:W92"/>
    <mergeCell ref="AA78:AD78"/>
    <mergeCell ref="N77:P77"/>
    <mergeCell ref="Z81:Z82"/>
    <mergeCell ref="Z75:Z76"/>
    <mergeCell ref="Q75:S76"/>
    <mergeCell ref="N75:P76"/>
    <mergeCell ref="T88:V88"/>
    <mergeCell ref="X86:Y87"/>
    <mergeCell ref="AA83:AD83"/>
  </mergeCells>
  <hyperlinks>
    <hyperlink ref="Q3" r:id="rId1" xr:uid="{FF2B5F5E-EACE-49DA-B8E0-51D55533C35E}"/>
    <hyperlink ref="Q5" r:id="rId2" xr:uid="{494B2E60-1E00-4CAC-9D19-A3E8419CF797}"/>
    <hyperlink ref="Q7" r:id="rId3" xr:uid="{3CB4C765-30C7-493D-A6C1-9D629395715D}"/>
    <hyperlink ref="Q9" r:id="rId4" location="bd1068ac-84c6-4f88-adbb-abf949ddc967" xr:uid="{A6225DEA-9F36-4022-A84E-5830A900A602}"/>
    <hyperlink ref="Q11" r:id="rId5" xr:uid="{7B6DE9EE-3E50-4ADD-B97B-C1C8F1538674}"/>
  </hyperlinks>
  <pageMargins left="0.7" right="0.7" top="0.75" bottom="0.75" header="0.3" footer="0.3"/>
  <pageSetup paperSize="9" scale="15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Mensualisation CDI</vt:lpstr>
      <vt:lpstr>Mensualisation CDD</vt:lpstr>
      <vt:lpstr>Sources</vt:lpstr>
      <vt:lpstr>AGE</vt:lpstr>
      <vt:lpstr>CMG_Plafond</vt:lpstr>
      <vt:lpstr>CMG_Ref</vt:lpstr>
      <vt:lpstr>critères_date_caf</vt:lpstr>
      <vt:lpstr>'Mensualisation CDD'!Date_naissance</vt:lpstr>
      <vt:lpstr>Date_naissance</vt:lpstr>
      <vt:lpstr>enfant</vt:lpstr>
      <vt:lpstr>IE_annuelles</vt:lpstr>
      <vt:lpstr>IE_CCN</vt:lpstr>
      <vt:lpstr>'Mensualisation CDD'!net_annuel</vt:lpstr>
      <vt:lpstr>net_annuel</vt:lpstr>
      <vt:lpstr>ouinon</vt:lpstr>
      <vt:lpstr>P_plafond_impôt</vt:lpstr>
      <vt:lpstr>pourcent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de mensualisation et reste à charge employeur</dc:title>
  <dc:creator>ANAMAAF-SUPNAAFAM-UNSA</dc:creator>
  <cp:lastModifiedBy>P</cp:lastModifiedBy>
  <cp:lastPrinted>2021-04-08T10:19:50Z</cp:lastPrinted>
  <dcterms:created xsi:type="dcterms:W3CDTF">2005-05-16T12:30:44Z</dcterms:created>
  <dcterms:modified xsi:type="dcterms:W3CDTF">2026-05-28T17:08:26Z</dcterms:modified>
</cp:coreProperties>
</file>